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marcelo.nascimento\Downloads\"/>
    </mc:Choice>
  </mc:AlternateContent>
  <xr:revisionPtr revIDLastSave="0" documentId="8_{7D17D5FB-3CB0-4413-9DF7-63DE902BEEFC}" xr6:coauthVersionLast="47" xr6:coauthVersionMax="47" xr10:uidLastSave="{00000000-0000-0000-0000-000000000000}"/>
  <bookViews>
    <workbookView xWindow="28680" yWindow="-120" windowWidth="20730" windowHeight="11040" xr2:uid="{00000000-000D-0000-FFFF-FFFF00000000}"/>
  </bookViews>
  <sheets>
    <sheet name="Planilha Resumo" sheetId="1" r:id="rId1"/>
    <sheet name="Memória de Cálcul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" l="1"/>
  <c r="I11" i="1"/>
  <c r="F68" i="2"/>
  <c r="F62" i="2"/>
  <c r="F69" i="2" s="1"/>
  <c r="G91" i="2" l="1"/>
  <c r="L15" i="1"/>
  <c r="M15" i="1" s="1"/>
  <c r="N15" i="1" s="1"/>
  <c r="G97" i="2"/>
  <c r="L9" i="1"/>
  <c r="E30" i="2"/>
  <c r="G35" i="2"/>
  <c r="G28" i="2"/>
  <c r="G27" i="2"/>
  <c r="G25" i="2"/>
  <c r="G29" i="2" s="1"/>
  <c r="I9" i="1" s="1"/>
  <c r="E29" i="2"/>
  <c r="G36" i="2" l="1"/>
  <c r="L25" i="1" l="1"/>
  <c r="M25" i="1" s="1"/>
  <c r="N25" i="1" s="1"/>
  <c r="H120" i="2"/>
  <c r="L24" i="1"/>
  <c r="M24" i="1" s="1"/>
  <c r="N24" i="1" s="1"/>
  <c r="G120" i="2"/>
  <c r="L23" i="1"/>
  <c r="M23" i="1" s="1"/>
  <c r="N23" i="1" s="1"/>
  <c r="F120" i="2"/>
  <c r="L22" i="1"/>
  <c r="M22" i="1" s="1"/>
  <c r="N22" i="1" s="1"/>
  <c r="E120" i="2"/>
  <c r="L21" i="1"/>
  <c r="M21" i="1" s="1"/>
  <c r="N21" i="1" s="1"/>
  <c r="D120" i="2"/>
  <c r="L20" i="1"/>
  <c r="M20" i="1" s="1"/>
  <c r="N20" i="1" s="1"/>
  <c r="L97" i="2"/>
  <c r="L19" i="1"/>
  <c r="M19" i="1" s="1"/>
  <c r="N19" i="1" s="1"/>
  <c r="K97" i="2"/>
  <c r="L18" i="1"/>
  <c r="M18" i="1" s="1"/>
  <c r="N18" i="1" s="1"/>
  <c r="J97" i="2"/>
  <c r="L17" i="1"/>
  <c r="M17" i="1" s="1"/>
  <c r="N17" i="1" s="1"/>
  <c r="I97" i="2"/>
  <c r="L16" i="1"/>
  <c r="M16" i="1" s="1"/>
  <c r="N16" i="1" s="1"/>
  <c r="H97" i="2"/>
  <c r="L14" i="1"/>
  <c r="M14" i="1" s="1"/>
  <c r="N14" i="1" s="1"/>
  <c r="L13" i="1"/>
  <c r="M13" i="1" s="1"/>
  <c r="N13" i="1" s="1"/>
  <c r="L12" i="1"/>
  <c r="M12" i="1" s="1"/>
  <c r="N12" i="1" s="1"/>
  <c r="N97" i="2"/>
  <c r="M11" i="1"/>
  <c r="L10" i="1"/>
  <c r="M10" i="1" s="1"/>
  <c r="N10" i="1" s="1"/>
  <c r="D52" i="2"/>
  <c r="M9" i="1"/>
  <c r="N9" i="1" s="1"/>
  <c r="L8" i="1"/>
  <c r="M8" i="1" s="1"/>
  <c r="N8" i="1" s="1"/>
  <c r="D35" i="2"/>
  <c r="L7" i="1"/>
  <c r="M7" i="1" s="1"/>
  <c r="N7" i="1" s="1"/>
  <c r="E14" i="2"/>
  <c r="L6" i="1"/>
  <c r="M6" i="1" s="1"/>
  <c r="D14" i="2"/>
  <c r="D30" i="1"/>
  <c r="E91" i="2"/>
  <c r="L26" i="1"/>
  <c r="M26" i="1" s="1"/>
  <c r="N26" i="1" s="1"/>
  <c r="P77" i="2"/>
  <c r="O76" i="2"/>
  <c r="D92" i="2"/>
  <c r="P83" i="2"/>
  <c r="P79" i="2"/>
  <c r="N83" i="2"/>
  <c r="N79" i="2"/>
  <c r="N78" i="2"/>
  <c r="N76" i="2"/>
  <c r="D114" i="2"/>
  <c r="D121" i="2" s="1"/>
  <c r="D29" i="2"/>
  <c r="I8" i="1" s="1"/>
  <c r="H115" i="2"/>
  <c r="G115" i="2"/>
  <c r="F115" i="2"/>
  <c r="E115" i="2"/>
  <c r="D115" i="2"/>
  <c r="H114" i="2"/>
  <c r="H121" i="2" s="1"/>
  <c r="G114" i="2"/>
  <c r="G121" i="2" s="1"/>
  <c r="F114" i="2"/>
  <c r="F121" i="2" s="1"/>
  <c r="E114" i="2"/>
  <c r="E121" i="2" s="1"/>
  <c r="F21" i="1"/>
  <c r="F22" i="1"/>
  <c r="F23" i="1"/>
  <c r="F24" i="1"/>
  <c r="F25" i="1"/>
  <c r="F19" i="1"/>
  <c r="K92" i="2"/>
  <c r="K91" i="2"/>
  <c r="I19" i="1" s="1"/>
  <c r="F18" i="1"/>
  <c r="F20" i="1"/>
  <c r="F12" i="1"/>
  <c r="F15" i="1"/>
  <c r="F16" i="1"/>
  <c r="F17" i="1"/>
  <c r="F13" i="1"/>
  <c r="F14" i="1"/>
  <c r="F11" i="1"/>
  <c r="F10" i="1"/>
  <c r="F7" i="1"/>
  <c r="F8" i="1"/>
  <c r="F9" i="1"/>
  <c r="F6" i="1"/>
  <c r="O83" i="2"/>
  <c r="O79" i="2"/>
  <c r="N6" i="1" l="1"/>
  <c r="M27" i="1"/>
  <c r="N11" i="1"/>
  <c r="D36" i="2"/>
  <c r="I21" i="1"/>
  <c r="J21" i="1" s="1"/>
  <c r="K21" i="1" s="1"/>
  <c r="K98" i="2"/>
  <c r="O91" i="2"/>
  <c r="P91" i="2"/>
  <c r="I22" i="1"/>
  <c r="J22" i="1" s="1"/>
  <c r="K22" i="1" s="1"/>
  <c r="I23" i="1"/>
  <c r="J23" i="1" s="1"/>
  <c r="K23" i="1" s="1"/>
  <c r="I24" i="1"/>
  <c r="J24" i="1" s="1"/>
  <c r="K24" i="1" s="1"/>
  <c r="I25" i="1"/>
  <c r="J25" i="1" s="1"/>
  <c r="K25" i="1" s="1"/>
  <c r="J19" i="1"/>
  <c r="K19" i="1" s="1"/>
  <c r="J9" i="1"/>
  <c r="K9" i="1" s="1"/>
  <c r="O97" i="2"/>
  <c r="N92" i="2"/>
  <c r="N91" i="2"/>
  <c r="G116" i="2"/>
  <c r="H118" i="2"/>
  <c r="E33" i="2"/>
  <c r="F117" i="2"/>
  <c r="F118" i="2"/>
  <c r="D118" i="2"/>
  <c r="E118" i="2"/>
  <c r="G118" i="2"/>
  <c r="P97" i="2"/>
  <c r="K95" i="2"/>
  <c r="E117" i="2"/>
  <c r="H116" i="2"/>
  <c r="H117" i="2"/>
  <c r="G117" i="2"/>
  <c r="D116" i="2"/>
  <c r="E116" i="2"/>
  <c r="D117" i="2"/>
  <c r="F116" i="2"/>
  <c r="K93" i="2"/>
  <c r="K94" i="2"/>
  <c r="E31" i="2"/>
  <c r="E32" i="2"/>
  <c r="J26" i="1"/>
  <c r="K26" i="1" s="1"/>
  <c r="D30" i="2"/>
  <c r="E7" i="2"/>
  <c r="E6" i="2"/>
  <c r="E5" i="2"/>
  <c r="E4" i="2"/>
  <c r="D7" i="2"/>
  <c r="D6" i="2"/>
  <c r="D5" i="2"/>
  <c r="D4" i="2"/>
  <c r="L92" i="2"/>
  <c r="L91" i="2"/>
  <c r="J92" i="2"/>
  <c r="J91" i="2"/>
  <c r="I92" i="2"/>
  <c r="I91" i="2"/>
  <c r="I17" i="1" s="1"/>
  <c r="H92" i="2"/>
  <c r="H91" i="2"/>
  <c r="D91" i="2"/>
  <c r="G92" i="2"/>
  <c r="F92" i="2"/>
  <c r="F91" i="2"/>
  <c r="E92" i="2"/>
  <c r="D63" i="2"/>
  <c r="D62" i="2"/>
  <c r="D47" i="2"/>
  <c r="D46" i="2"/>
  <c r="N27" i="1" l="1"/>
  <c r="O20" i="1" s="1"/>
  <c r="G98" i="2"/>
  <c r="I15" i="1"/>
  <c r="N95" i="2"/>
  <c r="I10" i="1"/>
  <c r="D53" i="2"/>
  <c r="I16" i="1"/>
  <c r="H98" i="2"/>
  <c r="I18" i="1"/>
  <c r="J98" i="2"/>
  <c r="I12" i="1"/>
  <c r="J12" i="1" s="1"/>
  <c r="K12" i="1" s="1"/>
  <c r="N98" i="2"/>
  <c r="I14" i="1"/>
  <c r="P98" i="2"/>
  <c r="I20" i="1"/>
  <c r="L98" i="2"/>
  <c r="I13" i="1"/>
  <c r="O98" i="2"/>
  <c r="N94" i="2"/>
  <c r="N93" i="2"/>
  <c r="D94" i="2"/>
  <c r="D93" i="2"/>
  <c r="D50" i="2"/>
  <c r="E9" i="2"/>
  <c r="H95" i="2"/>
  <c r="J95" i="2"/>
  <c r="I95" i="2"/>
  <c r="L94" i="2"/>
  <c r="D8" i="2"/>
  <c r="E8" i="2"/>
  <c r="D9" i="2"/>
  <c r="L95" i="2"/>
  <c r="F95" i="2"/>
  <c r="L93" i="2"/>
  <c r="J93" i="2"/>
  <c r="J94" i="2"/>
  <c r="I93" i="2"/>
  <c r="I94" i="2"/>
  <c r="H93" i="2"/>
  <c r="H94" i="2"/>
  <c r="G95" i="2"/>
  <c r="D95" i="2"/>
  <c r="E94" i="2"/>
  <c r="E95" i="2"/>
  <c r="G93" i="2"/>
  <c r="G94" i="2"/>
  <c r="F93" i="2"/>
  <c r="F94" i="2"/>
  <c r="E93" i="2"/>
  <c r="D33" i="2"/>
  <c r="D66" i="2"/>
  <c r="D64" i="2"/>
  <c r="D65" i="2"/>
  <c r="D32" i="2"/>
  <c r="D31" i="2"/>
  <c r="D48" i="2"/>
  <c r="D49" i="2"/>
  <c r="J17" i="1"/>
  <c r="K17" i="1" s="1"/>
  <c r="O7" i="1" l="1"/>
  <c r="O19" i="1"/>
  <c r="O9" i="1"/>
  <c r="O11" i="1"/>
  <c r="O24" i="1"/>
  <c r="O22" i="1"/>
  <c r="O26" i="1"/>
  <c r="O13" i="1"/>
  <c r="O15" i="1"/>
  <c r="O18" i="1"/>
  <c r="O25" i="1"/>
  <c r="O10" i="1"/>
  <c r="O16" i="1"/>
  <c r="O14" i="1"/>
  <c r="O8" i="1"/>
  <c r="O23" i="1"/>
  <c r="O21" i="1"/>
  <c r="O17" i="1"/>
  <c r="O12" i="1"/>
  <c r="O6" i="1"/>
  <c r="I7" i="1"/>
  <c r="J7" i="1" s="1"/>
  <c r="K7" i="1" s="1"/>
  <c r="E15" i="2"/>
  <c r="I6" i="1"/>
  <c r="J6" i="1" s="1"/>
  <c r="K6" i="1" s="1"/>
  <c r="D15" i="2"/>
  <c r="O27" i="1"/>
  <c r="E10" i="2"/>
  <c r="D11" i="2"/>
  <c r="E12" i="2"/>
  <c r="D12" i="2"/>
  <c r="E11" i="2"/>
  <c r="D10" i="2"/>
  <c r="J10" i="1"/>
  <c r="K10" i="1" s="1"/>
  <c r="J20" i="1"/>
  <c r="K20" i="1" s="1"/>
  <c r="J11" i="1"/>
  <c r="K11" i="1" s="1"/>
  <c r="J8" i="1"/>
  <c r="K8" i="1" s="1"/>
  <c r="J16" i="1"/>
  <c r="K16" i="1" s="1"/>
  <c r="J18" i="1"/>
  <c r="K18" i="1" s="1"/>
  <c r="J14" i="1"/>
  <c r="K14" i="1" s="1"/>
  <c r="J13" i="1" l="1"/>
  <c r="K13" i="1" s="1"/>
  <c r="J15" i="1" l="1"/>
  <c r="K15" i="1" s="1"/>
  <c r="J27" i="1" l="1"/>
  <c r="K27" i="1"/>
  <c r="N28" i="1" s="1"/>
</calcChain>
</file>

<file path=xl/sharedStrings.xml><?xml version="1.0" encoding="utf-8"?>
<sst xmlns="http://schemas.openxmlformats.org/spreadsheetml/2006/main" count="286" uniqueCount="146">
  <si>
    <t>CATEGORIA DE SERVIÇO</t>
  </si>
  <si>
    <t>ESPECIFICAÇÃO </t>
  </si>
  <si>
    <t>MÉTRICA </t>
  </si>
  <si>
    <t>VOLUME MENSAL </t>
  </si>
  <si>
    <t>VOLUME ANUAL </t>
  </si>
  <si>
    <t>A </t>
  </si>
  <si>
    <t>Hospedagem</t>
  </si>
  <si>
    <t>Produção de Soluções de TI - Ambiente nova solução ANAC</t>
  </si>
  <si>
    <t>Ambiente Ativado</t>
  </si>
  <si>
    <t>Persona </t>
  </si>
  <si>
    <t>B </t>
  </si>
  <si>
    <t>Desenvolvimento e Manutenção de Sistemas </t>
  </si>
  <si>
    <t>Ponto de Função </t>
  </si>
  <si>
    <t>C </t>
  </si>
  <si>
    <t>Consultoria Técnica </t>
  </si>
  <si>
    <t>Consultoria Técnica Especializada</t>
  </si>
  <si>
    <t>Hora Consultoria </t>
  </si>
  <si>
    <t>D </t>
  </si>
  <si>
    <t>Atendimento Especializado </t>
  </si>
  <si>
    <t>Atendimento 1º Nível - Chatbot e Voicebot</t>
  </si>
  <si>
    <t>Assinatura</t>
  </si>
  <si>
    <t>E </t>
  </si>
  <si>
    <t>Serviços de Inteligência </t>
  </si>
  <si>
    <t>PSA – Ingestão Full Banco de Dados Categoria 1 - Faixa 02 - De 100 GB a 299 GB</t>
  </si>
  <si>
    <t>GB - Gigabyte </t>
  </si>
  <si>
    <t>PSA – Ingestão Incremental Banco de Dados Categoria 1 - Diária</t>
  </si>
  <si>
    <t>Plataforma de Soluções Analíticas - Ambiente Padronizado</t>
  </si>
  <si>
    <t>Plataforma</t>
  </si>
  <si>
    <t>PSA - Construção da ingestão</t>
  </si>
  <si>
    <t>Hora Serviço Técnico</t>
  </si>
  <si>
    <t>GovData - Painel – Visualizador - Faixa 3 - de 21 a 50 usuários</t>
  </si>
  <si>
    <t>Visualizador</t>
  </si>
  <si>
    <t>Conversações inteligentes (SerproBots)</t>
  </si>
  <si>
    <t>Franquia</t>
  </si>
  <si>
    <t>Serviços Especiais </t>
  </si>
  <si>
    <t>Datavalid - Mercado Público - Biometria Facial - Faixa 04 - de 50.000 a 99.999</t>
  </si>
  <si>
    <t>Por validação</t>
  </si>
  <si>
    <t>VIO - Geração de Códigos Bidimensionais - Faixa 04 - de 50.000 a 99.999</t>
  </si>
  <si>
    <t>Por emissão</t>
  </si>
  <si>
    <t>Proposta Técnica de Atendimento </t>
  </si>
  <si>
    <t>PTA</t>
  </si>
  <si>
    <r>
      <rPr>
        <b/>
        <sz val="11"/>
        <color theme="1"/>
        <rFont val="Calibri"/>
        <family val="2"/>
        <scheme val="minor"/>
      </rPr>
      <t>Método estatístico aplicado para a definição do valor estimado:</t>
    </r>
    <r>
      <rPr>
        <sz val="11"/>
        <color theme="1"/>
        <rFont val="Calibri"/>
        <family val="2"/>
        <scheme val="minor"/>
      </rPr>
      <t xml:space="preserve"> Menor Preço/Média/Mediana</t>
    </r>
  </si>
  <si>
    <r>
      <rPr>
        <b/>
        <sz val="11"/>
        <color theme="1"/>
        <rFont val="Calibri"/>
        <family val="2"/>
        <scheme val="minor"/>
      </rPr>
      <t>Processo</t>
    </r>
    <r>
      <rPr>
        <sz val="11"/>
        <color theme="1"/>
        <rFont val="Calibri"/>
        <family val="2"/>
        <scheme val="minor"/>
      </rPr>
      <t>: n° 00058.060705/2023-15</t>
    </r>
  </si>
  <si>
    <r>
      <rPr>
        <b/>
        <sz val="11"/>
        <color theme="1"/>
        <rFont val="Calibri"/>
        <family val="2"/>
        <scheme val="minor"/>
      </rPr>
      <t>Objeto:</t>
    </r>
    <r>
      <rPr>
        <sz val="11"/>
        <color theme="1"/>
        <rFont val="Calibri"/>
        <family val="2"/>
        <scheme val="minor"/>
      </rPr>
      <t xml:space="preserve"> Serviços estratégicos e continuados de Tecnologia da Informação – TI voltados, direta ou indiretamente, ao suporte necessário para a produção de soluções estruturantes de Governo e departamentais, que atendem à Agência Nacional de Aviação Civil (ANAC).</t>
    </r>
  </si>
  <si>
    <t>VALOR UNITÁRIO</t>
  </si>
  <si>
    <t>VALOR TOTAL
12 MESES</t>
  </si>
  <si>
    <t>CUSTO ESTIMADO TOTAL (R$) :</t>
  </si>
  <si>
    <t>F</t>
  </si>
  <si>
    <t>Saneamento Amostral
--------&gt;</t>
  </si>
  <si>
    <t>Sequência</t>
  </si>
  <si>
    <t>Preço Unitário</t>
  </si>
  <si>
    <t>(R$)</t>
  </si>
  <si>
    <t>MÉDIA DOS PREÇOS COLETADOS (MPC):</t>
  </si>
  <si>
    <t>Mediana</t>
  </si>
  <si>
    <t>DESVIO PADRÃO (DP): </t>
  </si>
  <si>
    <t>LIMITE SUPERIOR (MPC + DP):</t>
  </si>
  <si>
    <t>LIMITE INFERIOR (MPC - DP):</t>
  </si>
  <si>
    <t>COEFICIENTE DE VARIAÇÃO (&lt;= 25%):</t>
  </si>
  <si>
    <t>Órgão/Entidade</t>
  </si>
  <si>
    <t>Documento</t>
  </si>
  <si>
    <t>Referência</t>
  </si>
  <si>
    <t>PROPOSTA DE PREÇOS SERPRO (PPS):</t>
  </si>
  <si>
    <t>MÉDIA FINAL DOS PREÇOS (MPC vs PPS):</t>
  </si>
  <si>
    <t>CATSER</t>
  </si>
  <si>
    <t>27065
27030</t>
  </si>
  <si>
    <t>27332 </t>
  </si>
  <si>
    <t>26980 </t>
  </si>
  <si>
    <t>Homem Hora</t>
  </si>
  <si>
    <t>Datavalid - Mercado Público - Biometria Facial - Faixa 02 - de 1.000 a 9.999</t>
  </si>
  <si>
    <t>Desenvolvimento e Manutenção de Sistemas (Software e Painéis)</t>
  </si>
  <si>
    <t>Construção e manutenção de software - Serviço Especializado</t>
  </si>
  <si>
    <t>INFOVIA - Conexão Tipo 1 - 10 Gbps</t>
  </si>
  <si>
    <t>Serviço adicional de Conexão à Internet - 400Mbps</t>
  </si>
  <si>
    <t>Certificado Digital nível A3 - Tipo e-CPF com Token</t>
  </si>
  <si>
    <t>Certificado Digital nível A3 - Tipo e-CPF sem Token</t>
  </si>
  <si>
    <t xml:space="preserve">Certificação Digital -  Outros - Equipamento A1 </t>
  </si>
  <si>
    <t>G</t>
  </si>
  <si>
    <t>Infraestrutura</t>
  </si>
  <si>
    <t>Conexão</t>
  </si>
  <si>
    <t>Pacote (Mbps)</t>
  </si>
  <si>
    <t>Certificado emitido</t>
  </si>
  <si>
    <t>VALOR TOTAL
36 MESES</t>
  </si>
  <si>
    <t>PROPOSTA SERPRO</t>
  </si>
  <si>
    <t>Contrato CAIXA 11408/2022,vigente até 22/12/2024, o custo do chatbot é de R$ 0,62; Infere-se que o custo do voicebot poderá ser R$ 0,88</t>
  </si>
  <si>
    <t xml:space="preserve">Contrato TSE 85/2021,vigente até 29/12/2026, o custo do chatbot é de R$ 0,62, infere-se que o custo do voicebot poderá ser R$ 0,88 </t>
  </si>
  <si>
    <t>RELAÇÃO COM VALOR TOTAL</t>
  </si>
  <si>
    <t>PESQUISA CONTRATOS PÚBLICOS OBJETOS IDENTICOS</t>
  </si>
  <si>
    <t>ITEM</t>
  </si>
  <si>
    <t>ID. CAT. SERV.</t>
  </si>
  <si>
    <t>ITEM 1</t>
  </si>
  <si>
    <t>ITEM 2</t>
  </si>
  <si>
    <t>SERVIÇOS QUE COMPÕEM A CATEGORIA DE SERVIÇO "A" (Produção de Soluções de TI ) DO OBJETO DA CONTRATAÇÃO:</t>
  </si>
  <si>
    <t>SERVIÇOS QUE COMPÕEM A CATEGORIA DE SERVIÇO "B" (Desenvolvimento e Manutenção de Sistemas ) DO OBJETO DA CONTRATAÇÃO:</t>
  </si>
  <si>
    <t>SERVIÇOS QUE COMPÕEM A CATEGORIA DE SERVIÇO "C" (Consultoria Técnica) DO OBJETO DA CONTRATAÇÃO:</t>
  </si>
  <si>
    <t>SERVIÇOS QUE COMPÕEM A CATEGORIA DE SERVIÇO "D" (Atendimento Especializado) DO OBJETO DA CONTRATAÇÃO:</t>
  </si>
  <si>
    <t>SERVIÇOS QUE COMPÕEM A CATEGORIA DE SERVIÇO "E" (Serviços de Inteligência) DO OBJETO DA CONTRATAÇÃO:</t>
  </si>
  <si>
    <t>SERVIÇOS QUE COMPÕEM A CATEGORIA DE SERVIÇO "F" (Serviços de Infraestrutura) DO OBJETO DA CONTRATAÇÃO: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</si>
  <si>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</si>
  <si>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</si>
  <si>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</si>
  <si>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</si>
  <si>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</si>
  <si>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</si>
  <si>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</si>
  <si>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</si>
  <si>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</si>
  <si>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</si>
  <si>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</si>
  <si>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</si>
  <si>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</si>
  <si>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</si>
  <si>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</si>
  <si>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ITEM 18</t>
  </si>
  <si>
    <t>ITEM 19</t>
  </si>
  <si>
    <t>ITEM 20</t>
  </si>
  <si>
    <t>PERCENTUAL DE REDUÇÃO EM RELAÇÃO A PESQUISA DE MERCADO (%):</t>
  </si>
  <si>
    <r>
      <t xml:space="preserve">UASG </t>
    </r>
    <r>
      <rPr>
        <b/>
        <sz val="11"/>
        <color theme="5"/>
        <rFont val="Calibri"/>
        <family val="2"/>
      </rPr>
      <t>171008</t>
    </r>
    <r>
      <rPr>
        <sz val="11"/>
        <color rgb="FF000000"/>
        <rFont val="Calibri"/>
        <family val="2"/>
      </rPr>
      <t xml:space="preserve"> - PROCURADORIA GERAL DA FAZENDA NACIONAL - TERMO DE CONTRATO 06/2023
(pág. 267/268, item 1.22 -  Sistema de Ajuizamento Parametrizado - FLEXA)</t>
    </r>
  </si>
  <si>
    <r>
      <t xml:space="preserve">UASG </t>
    </r>
    <r>
      <rPr>
        <b/>
        <sz val="11"/>
        <color theme="5"/>
        <rFont val="Calibri"/>
        <family val="2"/>
      </rPr>
      <t>171008</t>
    </r>
    <r>
      <rPr>
        <sz val="11"/>
        <color rgb="FF000000"/>
        <rFont val="Calibri"/>
        <family val="2"/>
      </rPr>
      <t xml:space="preserve"> - PROCURADORIA GERAL DA FAZENDA NACIONAL - TERMO DE CONTRATO 06/2023</t>
    </r>
  </si>
  <si>
    <r>
      <t xml:space="preserve">UASG </t>
    </r>
    <r>
      <rPr>
        <b/>
        <sz val="11"/>
        <color theme="5"/>
        <rFont val="Calibri"/>
        <family val="2"/>
      </rPr>
      <t>171010</t>
    </r>
    <r>
      <rPr>
        <sz val="11"/>
        <color rgb="FF000000"/>
        <rFont val="Calibri"/>
        <family val="2"/>
      </rPr>
      <t xml:space="preserve"> - SECRETARIA DA RECEITA FEDERAL DO BRASIL - TERMO DE CONTRATO 25/2023
(pág 60 -  MODAL AEREO)</t>
    </r>
  </si>
  <si>
    <r>
      <t xml:space="preserve">UASG </t>
    </r>
    <r>
      <rPr>
        <b/>
        <sz val="11"/>
        <color theme="5"/>
        <rFont val="Calibri"/>
        <family val="2"/>
      </rPr>
      <t>171010</t>
    </r>
    <r>
      <rPr>
        <sz val="11"/>
        <color rgb="FF000000"/>
        <rFont val="Calibri"/>
        <family val="2"/>
      </rPr>
      <t xml:space="preserve"> - SECRETARIA DA RECEITA FEDERAL DO BRASIL - TERMO DE CONTRATO 25/2023</t>
    </r>
  </si>
  <si>
    <r>
      <t xml:space="preserve">UASG </t>
    </r>
    <r>
      <rPr>
        <b/>
        <sz val="11"/>
        <color theme="5"/>
        <rFont val="Calibri"/>
        <family val="2"/>
      </rPr>
      <t>39000</t>
    </r>
    <r>
      <rPr>
        <sz val="11"/>
        <color rgb="FF000000"/>
        <rFont val="Calibri"/>
        <family val="2"/>
      </rPr>
      <t xml:space="preserve"> - MINISTÉRIO DOS TRANSPORTES - TERMO DE CONTRATO 10/2020</t>
    </r>
  </si>
  <si>
    <r>
      <t xml:space="preserve">UASG </t>
    </r>
    <r>
      <rPr>
        <b/>
        <sz val="11"/>
        <color theme="5"/>
        <rFont val="Calibri"/>
        <family val="2"/>
      </rPr>
      <t>39252</t>
    </r>
    <r>
      <rPr>
        <sz val="11"/>
        <color rgb="FF000000"/>
        <rFont val="Calibri"/>
        <family val="2"/>
      </rPr>
      <t xml:space="preserve"> - DEPARTAMENTO NACIONAL DE INFRAEST DE TRANSPORTES - TERMO DE CONTRATO 178/2021 - 2ºTA</t>
    </r>
  </si>
  <si>
    <r>
      <t xml:space="preserve">UASG </t>
    </r>
    <r>
      <rPr>
        <b/>
        <sz val="11"/>
        <color theme="5"/>
        <rFont val="Calibri"/>
        <family val="2"/>
      </rPr>
      <t>20101</t>
    </r>
    <r>
      <rPr>
        <sz val="11"/>
        <color rgb="FF000000"/>
        <rFont val="Calibri"/>
        <family val="2"/>
      </rPr>
      <t xml:space="preserve"> - PRESIDÊNCIA DA REPÚBLICA - TERMO DE CONTRATO 48/2019 - APOSTILAMENTO</t>
    </r>
  </si>
  <si>
    <r>
      <t xml:space="preserve">UASG </t>
    </r>
    <r>
      <rPr>
        <b/>
        <sz val="11"/>
        <color theme="5"/>
        <rFont val="Calibri"/>
        <family val="2"/>
      </rPr>
      <t>22000</t>
    </r>
    <r>
      <rPr>
        <sz val="11"/>
        <color rgb="FF000000"/>
        <rFont val="Calibri"/>
        <family val="2"/>
      </rPr>
      <t xml:space="preserve"> - MINISTÉRIO DA AGRICULTURA, PECUÁRIA E ABASTECIMENTO - TERMO DE CONTRATO 08/2022</t>
    </r>
  </si>
  <si>
    <r>
      <t xml:space="preserve">UASG </t>
    </r>
    <r>
      <rPr>
        <b/>
        <sz val="11"/>
        <color theme="5"/>
        <rFont val="Calibri"/>
        <family val="2"/>
      </rPr>
      <t>170950</t>
    </r>
    <r>
      <rPr>
        <sz val="11"/>
        <color rgb="FF000000"/>
        <rFont val="Calibri"/>
        <family val="2"/>
      </rPr>
      <t xml:space="preserve"> - SECRETARIA DO TESOURO NACIONAL - TERMO DE CONTRATO 03/2022</t>
    </r>
  </si>
  <si>
    <t>THOMAS GREG &amp; SONS GRÁFICA E SER. , IND. E COM., IMP. E EXP. DE EQUIP. LTD - Vigência: 20/12/2023 a 19/12/2030</t>
  </si>
  <si>
    <t>25968
25984</t>
  </si>
  <si>
    <t>Diferença percentual (%):</t>
  </si>
  <si>
    <r>
      <t xml:space="preserve">UASG </t>
    </r>
    <r>
      <rPr>
        <b/>
        <sz val="11"/>
        <color theme="5"/>
        <rFont val="Calibri"/>
        <family val="2"/>
      </rPr>
      <t>170016</t>
    </r>
    <r>
      <rPr>
        <sz val="11"/>
        <color rgb="FF000000"/>
        <rFont val="Calibri"/>
        <family val="2"/>
      </rPr>
      <t xml:space="preserve"> - DIRETORIA DE ADMINISTRAÇÃO E LOGÍSTICA DO MINISTÉRIO DA ECONOMIA - TERMO DE CONTRATO 65/2021
(pág. 723 - VICOMEX - Visão Integrada de Comércio Exterior)</t>
    </r>
  </si>
  <si>
    <r>
      <t xml:space="preserve">UASG </t>
    </r>
    <r>
      <rPr>
        <b/>
        <sz val="11"/>
        <color theme="5"/>
        <rFont val="Calibri"/>
        <family val="2"/>
      </rPr>
      <t>170016</t>
    </r>
    <r>
      <rPr>
        <sz val="11"/>
        <color rgb="FF000000"/>
        <rFont val="Calibri"/>
        <family val="2"/>
      </rPr>
      <t xml:space="preserve"> - DIRETORIA DE ADMINISTRAÇÃO E LOGÍSTICA DO MINISTÉRIO DA ECONOMIA - TERMO DE CONTRATO 65/2021</t>
    </r>
  </si>
  <si>
    <r>
      <t xml:space="preserve">UASG </t>
    </r>
    <r>
      <rPr>
        <b/>
        <sz val="11"/>
        <color theme="5"/>
        <rFont val="Calibri"/>
        <family val="2"/>
      </rPr>
      <t>550005</t>
    </r>
    <r>
      <rPr>
        <sz val="11"/>
        <color rgb="FF000000"/>
        <rFont val="Calibri"/>
        <family val="2"/>
      </rPr>
      <t xml:space="preserve"> - COORDENACAO GERAL DE LICITACOES E CONTRATOS - CONTRATO 7/2024 (UM PERFIL DOS ITENS 1, 2 e 5)</t>
    </r>
  </si>
  <si>
    <r>
      <t xml:space="preserve">UASG </t>
    </r>
    <r>
      <rPr>
        <b/>
        <sz val="11"/>
        <color theme="5"/>
        <rFont val="Calibri"/>
        <family val="2"/>
      </rPr>
      <t>200342</t>
    </r>
    <r>
      <rPr>
        <sz val="11"/>
        <color rgb="FF000000"/>
        <rFont val="Calibri"/>
        <family val="2"/>
      </rPr>
      <t xml:space="preserve"> - DIRETORIA DE TECNOLOGIA DA INFORM.E INOVACAO - CONTRATO 22/2023 (ITEM 7 do contrato)</t>
    </r>
  </si>
  <si>
    <r>
      <t xml:space="preserve">UASG </t>
    </r>
    <r>
      <rPr>
        <b/>
        <sz val="11"/>
        <color theme="5"/>
        <rFont val="Calibri"/>
        <family val="2"/>
      </rPr>
      <t>926353</t>
    </r>
    <r>
      <rPr>
        <sz val="11"/>
        <color rgb="FF000000"/>
        <rFont val="Calibri"/>
        <family val="2"/>
      </rPr>
      <t xml:space="preserve"> - SECRETARIA DE ESTADO DE FAZENDA DO MATO GROSSO (SEFAZ MT) - TERMO DE CONTRATO 007/2019 - Vigente 03/06/2023 a 03/06/2024</t>
    </r>
  </si>
  <si>
    <r>
      <t xml:space="preserve">UASG </t>
    </r>
    <r>
      <rPr>
        <b/>
        <sz val="11"/>
        <color theme="5"/>
        <rFont val="Calibri"/>
        <family val="2"/>
      </rPr>
      <t>389297</t>
    </r>
    <r>
      <rPr>
        <sz val="11"/>
        <color rgb="FF000000"/>
        <rFont val="Calibri"/>
        <family val="2"/>
      </rPr>
      <t xml:space="preserve"> - CONSELHO REGIONAL DE CORRETORES DE IMOVEIS DA 2 REGIAO - CONTRATO nº 83566 - Vigência 11/09/2023 a 10/09/2024</t>
    </r>
  </si>
  <si>
    <r>
      <t xml:space="preserve">UASG </t>
    </r>
    <r>
      <rPr>
        <b/>
        <sz val="11"/>
        <color theme="5"/>
        <rFont val="Calibri"/>
        <family val="2"/>
      </rPr>
      <t>926496</t>
    </r>
    <r>
      <rPr>
        <sz val="11"/>
        <color rgb="FF000000"/>
        <rFont val="Calibri"/>
        <family val="2"/>
      </rPr>
      <t xml:space="preserve"> - PERNAMBUCO TRIBUNAL DE JUSTICA - CONTRATO  - Vigência:  17/08/2023 a 17/08/2024</t>
    </r>
  </si>
  <si>
    <r>
      <t xml:space="preserve">UASG </t>
    </r>
    <r>
      <rPr>
        <b/>
        <sz val="11"/>
        <color theme="5"/>
        <rFont val="Calibri"/>
        <family val="2"/>
      </rPr>
      <t>683801</t>
    </r>
    <r>
      <rPr>
        <sz val="11"/>
        <color rgb="FF000000"/>
        <rFont val="Calibri"/>
        <family val="2"/>
      </rPr>
      <t xml:space="preserve"> - COMANDO DA MARINHA - CONTRATO 52000/2022-007/0 - Vigência:  20/10/2023 a 19/10/2024</t>
    </r>
  </si>
  <si>
    <r>
      <t xml:space="preserve">UASG </t>
    </r>
    <r>
      <rPr>
        <b/>
        <sz val="11"/>
        <color theme="5"/>
        <rFont val="Calibri"/>
        <family val="2"/>
      </rPr>
      <t>80001</t>
    </r>
    <r>
      <rPr>
        <sz val="11"/>
        <color rgb="FF000000"/>
        <rFont val="Calibri"/>
        <family val="2"/>
      </rPr>
      <t xml:space="preserve"> - TRIBUNAL SUPERIOR DO TRABALHO - CONTRATO Vigência 30/12/2022 a 29/12/2023</t>
    </r>
  </si>
  <si>
    <t>UASG - SERVIÇO NACIONAL DE APRENDIZAGEM DO TRANSPORTE (SENAT) - CONTRATO Vigência: 15/08/2022 a 14/08/2025</t>
  </si>
  <si>
    <t>UASG  - SERVIÇO SOCIAL DO TRANSPORTE (SEST) - CONTRATO Vigência: 18/08/2022 a 17/08/2025</t>
  </si>
  <si>
    <r>
      <t xml:space="preserve">UASG </t>
    </r>
    <r>
      <rPr>
        <b/>
        <sz val="11"/>
        <color theme="5"/>
        <rFont val="Calibri"/>
        <family val="2"/>
      </rPr>
      <t>120105</t>
    </r>
    <r>
      <rPr>
        <sz val="11"/>
        <color rgb="FF000000"/>
        <rFont val="Calibri"/>
        <family val="2"/>
      </rPr>
      <t xml:space="preserve"> -  CENTRO DE COMPUTAÇÃO DA AERONAUTICA DE BRASILIA - TERMO DE CONTRATO 001/GAP-CCA-BR/2023</t>
    </r>
  </si>
  <si>
    <r>
      <t xml:space="preserve">UASG </t>
    </r>
    <r>
      <rPr>
        <b/>
        <sz val="11"/>
        <color theme="5"/>
        <rFont val="Calibri"/>
        <family val="2"/>
      </rPr>
      <t>925358</t>
    </r>
    <r>
      <rPr>
        <sz val="11"/>
        <color rgb="FF000000"/>
        <rFont val="Calibri"/>
        <family val="2"/>
      </rPr>
      <t xml:space="preserve"> - CONSELHO NACIONAL DE JUSTIÇA  - TERMO DE CONTRATO 06/2020 - TERCEIRO TERMO ADITIVO</t>
    </r>
  </si>
  <si>
    <r>
      <t xml:space="preserve">UASG </t>
    </r>
    <r>
      <rPr>
        <b/>
        <sz val="11"/>
        <color theme="5"/>
        <rFont val="Calibri"/>
        <family val="2"/>
      </rPr>
      <t>420009</t>
    </r>
    <r>
      <rPr>
        <sz val="11"/>
        <color rgb="FF000000"/>
        <rFont val="Calibri"/>
        <family val="2"/>
      </rPr>
      <t xml:space="preserve"> - MINISTÉRIO DAS COMUNICAÇÕES  - TERMO DE CONTRATO 05/2021 - PRMEIRO TERMO ADITIVO</t>
    </r>
  </si>
  <si>
    <r>
      <t xml:space="preserve">UASG </t>
    </r>
    <r>
      <rPr>
        <b/>
        <sz val="11"/>
        <color theme="5"/>
        <rFont val="Calibri"/>
        <family val="2"/>
      </rPr>
      <t>50001</t>
    </r>
    <r>
      <rPr>
        <sz val="11"/>
        <color rgb="FF000000"/>
        <rFont val="Calibri"/>
        <family val="2"/>
      </rPr>
      <t xml:space="preserve"> -  STJ- SUPERIOR TRIBUNAL DE JUSTIÇA  - TERMO DE CONTRATO 73/2021 - Vigência: 20/10/2021 a 19/04/2024</t>
    </r>
  </si>
  <si>
    <r>
      <t xml:space="preserve">UASG </t>
    </r>
    <r>
      <rPr>
        <b/>
        <sz val="11"/>
        <color theme="5"/>
        <rFont val="Calibri"/>
        <family val="2"/>
      </rPr>
      <t>420001</t>
    </r>
    <r>
      <rPr>
        <sz val="11"/>
        <color rgb="FF000000"/>
        <rFont val="Calibri"/>
        <family val="2"/>
      </rPr>
      <t xml:space="preserve"> -   MINISTÉRIO DA CULTURA  - TERMO DE CONTRATO 01/2023 -  Vigência: 19/05/2023 a 18/05/2024</t>
    </r>
  </si>
  <si>
    <t>Menor Valor</t>
  </si>
  <si>
    <r>
      <t xml:space="preserve">UASG </t>
    </r>
    <r>
      <rPr>
        <b/>
        <sz val="11"/>
        <color theme="5"/>
        <rFont val="Calibri"/>
        <family val="2"/>
      </rPr>
      <t>925801</t>
    </r>
    <r>
      <rPr>
        <sz val="11"/>
        <color rgb="FF000000"/>
        <rFont val="Calibri"/>
        <family val="2"/>
      </rPr>
      <t xml:space="preserve"> - SECRETARIA DE ESTADO DE SEGURANÇA PÚBLICA - ESTADO DO PARA - TERMO DE HOMOLOGAÇÃO - Item 11 do Grupo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</si>
</sst>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"/>
    <numFmt numFmtId="165" formatCode="_-* #,##0.0000_-;\-* #,##0.0000_-;_-* &quot;-&quot;??_-;_-@_-"/>
    <numFmt numFmtId="166" formatCode="_-&quot;R$&quot;\ * #,##0.000_-;\-&quot;R$&quot;\ * #,##0.000_-;_-&quot;R$&quot;\ * &quot;-&quot;??_-;_-@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C0392B"/>
      <name val="Calibri"/>
      <family val="2"/>
    </font>
    <font>
      <b/>
      <sz val="11"/>
      <color theme="9" tint="-0.249977111117893"/>
      <name val="Calibri"/>
      <family val="2"/>
    </font>
    <font>
      <sz val="8"/>
      <name val="Calibri"/>
      <family val="2"/>
      <scheme val="minor"/>
    </font>
    <font>
      <b/>
      <sz val="11"/>
      <color theme="5"/>
      <name val="Calibri"/>
      <family val="2"/>
    </font>
    <font>
      <b/>
      <sz val="11"/>
      <color theme="6" tint="-0.499984740745262"/>
      <name val="Calibri"/>
      <family val="2"/>
    </font>
    <font>
      <b/>
      <strike/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Times New Roman"/>
      <family val="1"/>
    </font>
    <font>
      <b/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44" fontId="9" fillId="0" borderId="1" xfId="3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44" fontId="10" fillId="0" borderId="1" xfId="3" applyFont="1" applyBorder="1" applyAlignment="1">
      <alignment horizontal="right" vertical="center" wrapText="1"/>
    </xf>
    <xf numFmtId="44" fontId="10" fillId="0" borderId="0" xfId="3" applyFont="1" applyBorder="1" applyAlignment="1">
      <alignment horizontal="right" vertical="center" wrapText="1"/>
    </xf>
    <xf numFmtId="0" fontId="8" fillId="0" borderId="1" xfId="4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44" fontId="9" fillId="0" borderId="1" xfId="3" applyFont="1" applyFill="1" applyBorder="1" applyAlignment="1">
      <alignment horizontal="right" vertical="center" wrapText="1"/>
    </xf>
    <xf numFmtId="44" fontId="9" fillId="0" borderId="1" xfId="3" applyFont="1" applyBorder="1" applyAlignment="1">
      <alignment horizontal="right" vertical="center" wrapText="1"/>
    </xf>
    <xf numFmtId="44" fontId="10" fillId="0" borderId="1" xfId="0" applyNumberFormat="1" applyFont="1" applyBorder="1" applyAlignment="1">
      <alignment horizontal="right" vertical="center" wrapText="1"/>
    </xf>
    <xf numFmtId="0" fontId="0" fillId="0" borderId="0" xfId="0" quotePrefix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44" fontId="9" fillId="0" borderId="0" xfId="3" applyFont="1" applyFill="1" applyBorder="1" applyAlignment="1">
      <alignment horizontal="right" vertical="center" wrapText="1"/>
    </xf>
    <xf numFmtId="44" fontId="9" fillId="0" borderId="0" xfId="3" applyFont="1" applyBorder="1" applyAlignment="1">
      <alignment horizontal="center" vertical="center" wrapText="1"/>
    </xf>
    <xf numFmtId="44" fontId="9" fillId="0" borderId="0" xfId="3" applyFont="1" applyBorder="1" applyAlignment="1">
      <alignment horizontal="right" vertical="center" wrapText="1"/>
    </xf>
    <xf numFmtId="44" fontId="10" fillId="0" borderId="0" xfId="3" applyFont="1" applyBorder="1" applyAlignment="1">
      <alignment horizontal="center" vertical="center" wrapText="1"/>
    </xf>
    <xf numFmtId="44" fontId="10" fillId="0" borderId="0" xfId="0" applyNumberFormat="1" applyFont="1" applyAlignment="1">
      <alignment horizontal="center" vertical="center" wrapText="1"/>
    </xf>
    <xf numFmtId="10" fontId="15" fillId="0" borderId="1" xfId="2" applyNumberFormat="1" applyFont="1" applyBorder="1" applyAlignment="1">
      <alignment horizontal="right" vertical="center" wrapText="1"/>
    </xf>
    <xf numFmtId="10" fontId="15" fillId="0" borderId="1" xfId="2" applyNumberFormat="1" applyFont="1" applyBorder="1" applyAlignment="1">
      <alignment vertical="center" wrapText="1"/>
    </xf>
    <xf numFmtId="44" fontId="10" fillId="0" borderId="1" xfId="3" applyFont="1" applyBorder="1" applyAlignment="1">
      <alignment vertical="center" wrapText="1"/>
    </xf>
    <xf numFmtId="44" fontId="10" fillId="0" borderId="0" xfId="3" applyFont="1" applyBorder="1" applyAlignment="1">
      <alignment vertical="center" wrapText="1"/>
    </xf>
    <xf numFmtId="10" fontId="12" fillId="0" borderId="0" xfId="0" applyNumberFormat="1" applyFont="1" applyAlignment="1">
      <alignment horizontal="right" vertical="center" wrapText="1"/>
    </xf>
    <xf numFmtId="10" fontId="11" fillId="0" borderId="0" xfId="0" applyNumberFormat="1" applyFont="1" applyAlignment="1">
      <alignment horizontal="right" vertical="center" wrapText="1"/>
    </xf>
    <xf numFmtId="44" fontId="11" fillId="0" borderId="0" xfId="3" applyFont="1" applyBorder="1" applyAlignment="1">
      <alignment horizontal="right" vertical="center" wrapText="1"/>
    </xf>
    <xf numFmtId="44" fontId="10" fillId="0" borderId="0" xfId="0" applyNumberFormat="1" applyFont="1" applyAlignment="1">
      <alignment horizontal="right" vertical="center" wrapText="1"/>
    </xf>
    <xf numFmtId="0" fontId="9" fillId="0" borderId="1" xfId="3" applyNumberFormat="1" applyFont="1" applyBorder="1" applyAlignment="1">
      <alignment horizontal="right" vertical="center" wrapText="1"/>
    </xf>
    <xf numFmtId="2" fontId="9" fillId="0" borderId="1" xfId="3" applyNumberFormat="1" applyFont="1" applyBorder="1" applyAlignment="1">
      <alignment horizontal="right" vertical="center" wrapText="1"/>
    </xf>
    <xf numFmtId="44" fontId="9" fillId="0" borderId="1" xfId="3" applyFont="1" applyBorder="1" applyAlignment="1">
      <alignment vertical="center" wrapText="1"/>
    </xf>
    <xf numFmtId="44" fontId="9" fillId="0" borderId="1" xfId="3" applyFont="1" applyFill="1" applyBorder="1" applyAlignment="1">
      <alignment vertical="center" wrapText="1"/>
    </xf>
    <xf numFmtId="9" fontId="0" fillId="0" borderId="0" xfId="0" applyNumberFormat="1" applyAlignment="1">
      <alignment vertical="center"/>
    </xf>
    <xf numFmtId="43" fontId="9" fillId="0" borderId="1" xfId="1" applyFont="1" applyBorder="1" applyAlignment="1">
      <alignment horizontal="right" vertical="center" wrapText="1"/>
    </xf>
    <xf numFmtId="10" fontId="14" fillId="0" borderId="1" xfId="2" applyNumberFormat="1" applyFont="1" applyBorder="1" applyAlignment="1">
      <alignment vertical="center" wrapText="1"/>
    </xf>
    <xf numFmtId="44" fontId="16" fillId="0" borderId="1" xfId="0" applyNumberFormat="1" applyFont="1" applyBorder="1" applyAlignment="1">
      <alignment horizontal="right" vertical="center" wrapText="1"/>
    </xf>
    <xf numFmtId="44" fontId="10" fillId="5" borderId="1" xfId="3" applyFont="1" applyFill="1" applyBorder="1" applyAlignment="1">
      <alignment horizontal="center" vertical="center" wrapText="1"/>
    </xf>
    <xf numFmtId="44" fontId="10" fillId="5" borderId="1" xfId="0" applyNumberFormat="1" applyFont="1" applyFill="1" applyBorder="1" applyAlignment="1">
      <alignment horizontal="right" vertical="center" wrapText="1"/>
    </xf>
    <xf numFmtId="44" fontId="10" fillId="5" borderId="1" xfId="3" applyFont="1" applyFill="1" applyBorder="1" applyAlignment="1">
      <alignment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1" applyNumberFormat="1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44" fontId="12" fillId="0" borderId="1" xfId="0" applyNumberFormat="1" applyFont="1" applyBorder="1" applyAlignment="1">
      <alignment horizontal="right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43" fontId="4" fillId="7" borderId="1" xfId="0" applyNumberFormat="1" applyFont="1" applyFill="1" applyBorder="1" applyAlignment="1">
      <alignment horizontal="right" vertical="center" wrapText="1"/>
    </xf>
    <xf numFmtId="43" fontId="6" fillId="7" borderId="1" xfId="0" applyNumberFormat="1" applyFont="1" applyFill="1" applyBorder="1" applyAlignment="1">
      <alignment horizontal="right" vertical="center"/>
    </xf>
    <xf numFmtId="43" fontId="0" fillId="7" borderId="5" xfId="0" applyNumberFormat="1" applyFill="1" applyBorder="1" applyAlignment="1">
      <alignment horizontal="right" vertical="center"/>
    </xf>
    <xf numFmtId="43" fontId="4" fillId="7" borderId="1" xfId="0" applyNumberFormat="1" applyFont="1" applyFill="1" applyBorder="1" applyAlignment="1">
      <alignment horizontal="center" vertical="center" wrapText="1"/>
    </xf>
    <xf numFmtId="43" fontId="6" fillId="7" borderId="1" xfId="0" applyNumberFormat="1" applyFont="1" applyFill="1" applyBorder="1" applyAlignment="1">
      <alignment vertical="center"/>
    </xf>
    <xf numFmtId="43" fontId="7" fillId="7" borderId="1" xfId="0" applyNumberFormat="1" applyFont="1" applyFill="1" applyBorder="1"/>
    <xf numFmtId="43" fontId="7" fillId="7" borderId="5" xfId="0" applyNumberFormat="1" applyFont="1" applyFill="1" applyBorder="1"/>
    <xf numFmtId="0" fontId="3" fillId="8" borderId="4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65" fontId="0" fillId="8" borderId="1" xfId="1" applyNumberFormat="1" applyFont="1" applyFill="1" applyBorder="1" applyAlignment="1">
      <alignment horizontal="right" vertical="center"/>
    </xf>
    <xf numFmtId="43" fontId="0" fillId="8" borderId="1" xfId="1" applyFont="1" applyFill="1" applyBorder="1" applyAlignment="1">
      <alignment horizontal="right" vertical="center"/>
    </xf>
    <xf numFmtId="10" fontId="0" fillId="8" borderId="1" xfId="2" applyNumberFormat="1" applyFont="1" applyFill="1" applyBorder="1" applyAlignment="1">
      <alignment horizontal="center" vertical="center"/>
    </xf>
    <xf numFmtId="10" fontId="18" fillId="8" borderId="1" xfId="2" applyNumberFormat="1" applyFont="1" applyFill="1" applyBorder="1" applyAlignment="1">
      <alignment horizontal="center" vertical="center"/>
    </xf>
    <xf numFmtId="10" fontId="17" fillId="8" borderId="1" xfId="2" applyNumberFormat="1" applyFont="1" applyFill="1" applyBorder="1" applyAlignment="1">
      <alignment horizontal="center" vertical="center"/>
    </xf>
    <xf numFmtId="165" fontId="7" fillId="8" borderId="5" xfId="1" applyNumberFormat="1" applyFont="1" applyFill="1" applyBorder="1" applyAlignment="1">
      <alignment horizontal="right" vertical="center"/>
    </xf>
    <xf numFmtId="43" fontId="7" fillId="8" borderId="5" xfId="1" applyFont="1" applyFill="1" applyBorder="1" applyAlignment="1">
      <alignment horizontal="right" vertical="center"/>
    </xf>
    <xf numFmtId="10" fontId="2" fillId="8" borderId="1" xfId="2" applyNumberFormat="1" applyFont="1" applyFill="1" applyBorder="1" applyAlignment="1">
      <alignment horizontal="center" vertical="center"/>
    </xf>
    <xf numFmtId="43" fontId="0" fillId="0" borderId="0" xfId="0" applyNumberFormat="1"/>
    <xf numFmtId="166" fontId="10" fillId="5" borderId="1" xfId="3" applyNumberFormat="1" applyFont="1" applyFill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right" vertical="center" wrapText="1"/>
    </xf>
    <xf numFmtId="166" fontId="10" fillId="0" borderId="1" xfId="3" applyNumberFormat="1" applyFont="1" applyBorder="1" applyAlignment="1">
      <alignment horizontal="right" vertical="center" wrapText="1"/>
    </xf>
    <xf numFmtId="9" fontId="2" fillId="0" borderId="1" xfId="2" applyFont="1" applyBorder="1"/>
    <xf numFmtId="0" fontId="2" fillId="0" borderId="0" xfId="0" applyFont="1" applyAlignment="1">
      <alignment horizontal="right"/>
    </xf>
    <xf numFmtId="167" fontId="2" fillId="0" borderId="1" xfId="2" applyNumberFormat="1" applyFont="1" applyBorder="1"/>
    <xf numFmtId="10" fontId="2" fillId="0" borderId="1" xfId="2" applyNumberFormat="1" applyFont="1" applyBorder="1"/>
    <xf numFmtId="167" fontId="2" fillId="0" borderId="0" xfId="2" applyNumberFormat="1" applyFont="1" applyBorder="1"/>
    <xf numFmtId="10" fontId="20" fillId="0" borderId="1" xfId="2" applyNumberFormat="1" applyFont="1" applyBorder="1" applyAlignment="1">
      <alignment horizontal="right" vertical="center" wrapText="1"/>
    </xf>
    <xf numFmtId="9" fontId="2" fillId="9" borderId="1" xfId="2" applyFont="1" applyFill="1" applyBorder="1" applyAlignment="1">
      <alignment horizontal="right" vertical="center"/>
    </xf>
    <xf numFmtId="43" fontId="7" fillId="8" borderId="1" xfId="1" applyFont="1" applyFill="1" applyBorder="1" applyAlignment="1">
      <alignment horizontal="right" vertical="center"/>
    </xf>
    <xf numFmtId="0" fontId="2" fillId="9" borderId="1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19" fillId="8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 wrapText="1"/>
    </xf>
    <xf numFmtId="0" fontId="0" fillId="0" borderId="4" xfId="0" quotePrefix="1" applyBorder="1" applyAlignment="1">
      <alignment horizontal="center" vertical="center" wrapText="1"/>
    </xf>
    <xf numFmtId="44" fontId="10" fillId="0" borderId="2" xfId="3" applyFont="1" applyBorder="1" applyAlignment="1">
      <alignment horizontal="center" vertical="center" wrapText="1"/>
    </xf>
    <xf numFmtId="44" fontId="10" fillId="0" borderId="3" xfId="3" applyFont="1" applyBorder="1" applyAlignment="1">
      <alignment horizontal="center" vertical="center" wrapText="1"/>
    </xf>
    <xf numFmtId="44" fontId="10" fillId="0" borderId="4" xfId="3" applyFont="1" applyBorder="1" applyAlignment="1">
      <alignment horizontal="center" vertical="center" wrapText="1"/>
    </xf>
    <xf numFmtId="0" fontId="8" fillId="0" borderId="2" xfId="4" applyBorder="1" applyAlignment="1">
      <alignment horizontal="center" vertical="center" wrapText="1"/>
    </xf>
    <xf numFmtId="0" fontId="8" fillId="0" borderId="3" xfId="4" applyBorder="1" applyAlignment="1">
      <alignment horizontal="center" vertical="center" wrapText="1"/>
    </xf>
    <xf numFmtId="0" fontId="8" fillId="0" borderId="4" xfId="4" applyBorder="1" applyAlignment="1">
      <alignment horizontal="center" vertical="center" wrapText="1"/>
    </xf>
    <xf numFmtId="0" fontId="10" fillId="0" borderId="12" xfId="0" quotePrefix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9" fillId="6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4" borderId="1" xfId="0" applyFont="1" applyFill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right" vertical="center" wrapText="1"/>
    </xf>
    <xf numFmtId="0" fontId="10" fillId="4" borderId="5" xfId="0" applyFont="1" applyFill="1" applyBorder="1" applyAlignment="1">
      <alignment horizontal="right" vertical="center" wrapText="1"/>
    </xf>
    <xf numFmtId="0" fontId="10" fillId="4" borderId="6" xfId="0" applyFont="1" applyFill="1" applyBorder="1" applyAlignment="1">
      <alignment horizontal="right" vertical="center" wrapText="1"/>
    </xf>
    <xf numFmtId="0" fontId="10" fillId="4" borderId="7" xfId="0" applyFont="1" applyFill="1" applyBorder="1" applyAlignment="1">
      <alignment horizontal="right" vertical="center" wrapText="1"/>
    </xf>
    <xf numFmtId="44" fontId="10" fillId="0" borderId="0" xfId="3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0" fillId="0" borderId="0" xfId="1" applyFont="1"/>
  </cellXfs>
  <cellStyles count="6">
    <cellStyle name="Hiperlink" xfId="4" builtinId="8"/>
    <cellStyle name="Moeda 2" xfId="3" xr:uid="{7A640D35-F85A-4F22-8D3F-DDE5E354D69B}"/>
    <cellStyle name="Normal" xfId="0" builtinId="0"/>
    <cellStyle name="Porcentagem" xfId="2" builtinId="5"/>
    <cellStyle name="Vírgula" xfId="1" builtinId="3"/>
    <cellStyle name="Vírgula 2" xfId="5" xr:uid="{7A668CA7-27D0-49E7-ACDB-896675EA2BD3}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85296"/>
      </a:hlink>
      <a:folHlink>
        <a:srgbClr val="99336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7"/>
  <sheetViews>
    <sheetView tabSelected="1" topLeftCell="A8" workbookViewId="0">
      <selection activeCell="E16" sqref="E16"/>
    </sheetView>
  </sheetViews>
  <sheetFormatPr defaultRowHeight="14.5" x14ac:dyDescent="0.35"/>
  <cols>
    <col min="1" max="1" width="7.08984375" bestFit="1" customWidth="1"/>
    <col min="2" max="2" width="7.08984375" customWidth="1"/>
    <col min="3" max="3" width="23.90625" customWidth="1"/>
    <col min="4" max="4" width="51.81640625" bestFit="1" customWidth="1"/>
    <col min="5" max="5" width="15.6328125" bestFit="1" customWidth="1"/>
    <col min="6" max="6" width="13.36328125" bestFit="1" customWidth="1"/>
    <col min="7" max="7" width="11.26953125" customWidth="1"/>
    <col min="8" max="8" width="9.26953125" bestFit="1" customWidth="1"/>
    <col min="9" max="9" width="14" bestFit="1" customWidth="1"/>
    <col min="10" max="10" width="19.36328125" customWidth="1"/>
    <col min="11" max="11" width="19.7265625" customWidth="1"/>
    <col min="12" max="12" width="13.1796875" bestFit="1" customWidth="1"/>
    <col min="13" max="13" width="16.1796875" bestFit="1" customWidth="1"/>
    <col min="14" max="14" width="17.26953125" bestFit="1" customWidth="1"/>
    <col min="15" max="15" width="17.7265625" customWidth="1"/>
  </cols>
  <sheetData>
    <row r="1" spans="1:21" x14ac:dyDescent="0.35">
      <c r="A1" s="8" t="s">
        <v>42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x14ac:dyDescent="0.35">
      <c r="A2" s="8" t="s">
        <v>43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x14ac:dyDescent="0.35">
      <c r="A3" s="8" t="s">
        <v>41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1" ht="18.5" customHeight="1" x14ac:dyDescent="0.35">
      <c r="A4" s="9"/>
      <c r="B4" s="10"/>
      <c r="C4" s="10"/>
      <c r="D4" s="10"/>
      <c r="E4" s="10"/>
      <c r="F4" s="10"/>
      <c r="G4" s="10"/>
      <c r="H4" s="10"/>
      <c r="I4" s="87" t="s">
        <v>86</v>
      </c>
      <c r="J4" s="87"/>
      <c r="K4" s="87"/>
      <c r="L4" s="91" t="s">
        <v>82</v>
      </c>
      <c r="M4" s="91"/>
      <c r="N4" s="91"/>
      <c r="O4" s="91"/>
      <c r="P4" s="8"/>
      <c r="Q4" s="8"/>
      <c r="R4" s="8"/>
      <c r="S4" s="8"/>
      <c r="T4" s="8"/>
      <c r="U4" s="8"/>
    </row>
    <row r="5" spans="1:21" ht="42" x14ac:dyDescent="0.35">
      <c r="A5" s="1" t="s">
        <v>88</v>
      </c>
      <c r="B5" s="1" t="s">
        <v>87</v>
      </c>
      <c r="C5" s="1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63</v>
      </c>
      <c r="I5" s="55" t="s">
        <v>44</v>
      </c>
      <c r="J5" s="55" t="s">
        <v>45</v>
      </c>
      <c r="K5" s="56" t="s">
        <v>81</v>
      </c>
      <c r="L5" s="64" t="s">
        <v>44</v>
      </c>
      <c r="M5" s="64" t="s">
        <v>45</v>
      </c>
      <c r="N5" s="64" t="s">
        <v>81</v>
      </c>
      <c r="O5" s="65" t="s">
        <v>85</v>
      </c>
    </row>
    <row r="6" spans="1:21" ht="28" x14ac:dyDescent="0.35">
      <c r="A6" s="92" t="s">
        <v>5</v>
      </c>
      <c r="B6" s="2">
        <v>1</v>
      </c>
      <c r="C6" s="93" t="s">
        <v>6</v>
      </c>
      <c r="D6" s="94" t="s">
        <v>7</v>
      </c>
      <c r="E6" s="2" t="s">
        <v>8</v>
      </c>
      <c r="F6" s="2">
        <f>G6/12</f>
        <v>1</v>
      </c>
      <c r="G6" s="2">
        <v>12</v>
      </c>
      <c r="H6" s="2" t="s">
        <v>64</v>
      </c>
      <c r="I6" s="57">
        <f>'Memória de Cálculo'!D8</f>
        <v>95353.0815</v>
      </c>
      <c r="J6" s="58">
        <f>I6*G6</f>
        <v>1144236.9780000001</v>
      </c>
      <c r="K6" s="59">
        <f>J6*3</f>
        <v>3432710.9340000004</v>
      </c>
      <c r="L6" s="67">
        <f>'Memória de Cálculo'!D13</f>
        <v>91100.175700000007</v>
      </c>
      <c r="M6" s="67">
        <f>L6*G6</f>
        <v>1093202.1084</v>
      </c>
      <c r="N6" s="67">
        <f>M6*3</f>
        <v>3279606.3251999998</v>
      </c>
      <c r="O6" s="68">
        <f>N6/$N$27</f>
        <v>0.14132750474146835</v>
      </c>
    </row>
    <row r="7" spans="1:21" x14ac:dyDescent="0.35">
      <c r="A7" s="92"/>
      <c r="B7" s="2">
        <v>2</v>
      </c>
      <c r="C7" s="93"/>
      <c r="D7" s="94"/>
      <c r="E7" s="2" t="s">
        <v>9</v>
      </c>
      <c r="F7" s="2">
        <f t="shared" ref="F7:F20" si="0">G7/12</f>
        <v>8</v>
      </c>
      <c r="G7" s="2">
        <v>96</v>
      </c>
      <c r="H7" s="2">
        <v>27049</v>
      </c>
      <c r="I7" s="57">
        <f>'Memória de Cálculo'!E8</f>
        <v>7946.0901250000006</v>
      </c>
      <c r="J7" s="58">
        <f>I7*G7</f>
        <v>762824.652</v>
      </c>
      <c r="K7" s="59">
        <f t="shared" ref="K7:K24" si="1">J7*3</f>
        <v>2288473.9560000002</v>
      </c>
      <c r="L7" s="66">
        <f>'Memória de Cálculo'!E13</f>
        <v>7591.6813000000002</v>
      </c>
      <c r="M7" s="67">
        <f>L7*G7</f>
        <v>728801.40480000002</v>
      </c>
      <c r="N7" s="67">
        <f t="shared" ref="N7:N26" si="2">M7*3</f>
        <v>2186404.2143999999</v>
      </c>
      <c r="O7" s="68">
        <f t="shared" ref="O7:O26" si="3">N7/$N$27</f>
        <v>9.4218336390889459E-2</v>
      </c>
    </row>
    <row r="8" spans="1:21" ht="28" customHeight="1" x14ac:dyDescent="0.35">
      <c r="A8" s="92" t="s">
        <v>10</v>
      </c>
      <c r="B8" s="2">
        <v>3</v>
      </c>
      <c r="C8" s="93" t="s">
        <v>11</v>
      </c>
      <c r="D8" s="11" t="s">
        <v>69</v>
      </c>
      <c r="E8" s="2" t="s">
        <v>12</v>
      </c>
      <c r="F8" s="2">
        <f t="shared" si="0"/>
        <v>100</v>
      </c>
      <c r="G8" s="2">
        <v>1200</v>
      </c>
      <c r="H8" s="2" t="s">
        <v>126</v>
      </c>
      <c r="I8" s="57">
        <f>'Memória de Cálculo'!D29</f>
        <v>2213.0060000000003</v>
      </c>
      <c r="J8" s="57">
        <f>I8*G8</f>
        <v>2655607.2000000002</v>
      </c>
      <c r="K8" s="59">
        <f t="shared" si="1"/>
        <v>7966821.6000000006</v>
      </c>
      <c r="L8" s="66">
        <f>'Memória de Cálculo'!D34</f>
        <v>2171.96</v>
      </c>
      <c r="M8" s="67">
        <f t="shared" ref="M8:M26" si="4">L8*G8</f>
        <v>2606352</v>
      </c>
      <c r="N8" s="67">
        <f t="shared" si="2"/>
        <v>7819056</v>
      </c>
      <c r="O8" s="68">
        <f t="shared" si="3"/>
        <v>0.33694521974262187</v>
      </c>
    </row>
    <row r="9" spans="1:21" ht="28" x14ac:dyDescent="0.35">
      <c r="A9" s="92"/>
      <c r="B9" s="2">
        <v>4</v>
      </c>
      <c r="C9" s="93"/>
      <c r="D9" s="11" t="s">
        <v>70</v>
      </c>
      <c r="E9" s="2" t="s">
        <v>29</v>
      </c>
      <c r="F9" s="2">
        <f t="shared" si="0"/>
        <v>100</v>
      </c>
      <c r="G9" s="2">
        <v>1200</v>
      </c>
      <c r="H9" s="2">
        <v>27308</v>
      </c>
      <c r="I9" s="57">
        <f>'Memória de Cálculo'!G29</f>
        <v>627.86</v>
      </c>
      <c r="J9" s="57">
        <f t="shared" ref="J9" si="5">I9*G9</f>
        <v>753432</v>
      </c>
      <c r="K9" s="59">
        <f t="shared" si="1"/>
        <v>2260296</v>
      </c>
      <c r="L9" s="66">
        <f>'Memória de Cálculo'!G34</f>
        <v>507.77</v>
      </c>
      <c r="M9" s="67">
        <f t="shared" si="4"/>
        <v>609324</v>
      </c>
      <c r="N9" s="67">
        <f t="shared" si="2"/>
        <v>1827972</v>
      </c>
      <c r="O9" s="68">
        <f t="shared" si="3"/>
        <v>7.8772479340646753E-2</v>
      </c>
    </row>
    <row r="10" spans="1:21" x14ac:dyDescent="0.35">
      <c r="A10" s="2" t="s">
        <v>13</v>
      </c>
      <c r="B10" s="2">
        <v>5</v>
      </c>
      <c r="C10" s="3" t="s">
        <v>14</v>
      </c>
      <c r="D10" s="6" t="s">
        <v>15</v>
      </c>
      <c r="E10" s="2" t="s">
        <v>16</v>
      </c>
      <c r="F10" s="5">
        <f t="shared" si="0"/>
        <v>41.666666666666664</v>
      </c>
      <c r="G10" s="2">
        <v>500</v>
      </c>
      <c r="H10" s="2" t="s">
        <v>65</v>
      </c>
      <c r="I10" s="57">
        <f>'Memória de Cálculo'!D46</f>
        <v>667.00666666666677</v>
      </c>
      <c r="J10" s="58">
        <f t="shared" ref="J10:J26" si="6">I10*G10</f>
        <v>333503.33333333337</v>
      </c>
      <c r="K10" s="59">
        <f t="shared" si="1"/>
        <v>1000510.0000000001</v>
      </c>
      <c r="L10" s="66">
        <f>'Memória de Cálculo'!D51</f>
        <v>635.87</v>
      </c>
      <c r="M10" s="67">
        <f t="shared" si="4"/>
        <v>317935</v>
      </c>
      <c r="N10" s="67">
        <f t="shared" si="2"/>
        <v>953805</v>
      </c>
      <c r="O10" s="68">
        <f t="shared" si="3"/>
        <v>4.1102152909073868E-2</v>
      </c>
    </row>
    <row r="11" spans="1:21" x14ac:dyDescent="0.35">
      <c r="A11" s="2" t="s">
        <v>17</v>
      </c>
      <c r="B11" s="2">
        <v>6</v>
      </c>
      <c r="C11" s="3" t="s">
        <v>18</v>
      </c>
      <c r="D11" s="4" t="s">
        <v>19</v>
      </c>
      <c r="E11" s="2" t="s">
        <v>20</v>
      </c>
      <c r="F11" s="49">
        <f t="shared" si="0"/>
        <v>200</v>
      </c>
      <c r="G11" s="2">
        <v>2400</v>
      </c>
      <c r="H11" s="2" t="s">
        <v>66</v>
      </c>
      <c r="I11" s="57">
        <f>'Memória de Cálculo'!F62</f>
        <v>1.5</v>
      </c>
      <c r="J11" s="58">
        <f t="shared" si="6"/>
        <v>3600</v>
      </c>
      <c r="K11" s="59">
        <f t="shared" si="1"/>
        <v>10800</v>
      </c>
      <c r="L11" s="66">
        <f>'Memória de Cálculo'!F67</f>
        <v>1.5</v>
      </c>
      <c r="M11" s="67">
        <f t="shared" si="4"/>
        <v>3600</v>
      </c>
      <c r="N11" s="67">
        <f t="shared" si="2"/>
        <v>10800</v>
      </c>
      <c r="O11" s="69">
        <f t="shared" si="3"/>
        <v>4.6540252086956738E-4</v>
      </c>
    </row>
    <row r="12" spans="1:21" x14ac:dyDescent="0.35">
      <c r="A12" s="98" t="s">
        <v>21</v>
      </c>
      <c r="B12" s="2">
        <v>7</v>
      </c>
      <c r="C12" s="95" t="s">
        <v>22</v>
      </c>
      <c r="D12" s="4" t="s">
        <v>26</v>
      </c>
      <c r="E12" s="2" t="s">
        <v>27</v>
      </c>
      <c r="F12" s="49">
        <f>G12/12</f>
        <v>1</v>
      </c>
      <c r="G12" s="2">
        <v>12</v>
      </c>
      <c r="H12" s="2">
        <v>27308</v>
      </c>
      <c r="I12" s="57">
        <f>'Memória de Cálculo'!N91</f>
        <v>30292.14</v>
      </c>
      <c r="J12" s="58">
        <f>I12*G12</f>
        <v>363505.68</v>
      </c>
      <c r="K12" s="59">
        <f>J12*3</f>
        <v>1090517.04</v>
      </c>
      <c r="L12" s="66">
        <f>'Memória de Cálculo'!N96</f>
        <v>30077.91</v>
      </c>
      <c r="M12" s="67">
        <f>L12*G12</f>
        <v>360934.92</v>
      </c>
      <c r="N12" s="67">
        <f>M12*3</f>
        <v>1082804.76</v>
      </c>
      <c r="O12" s="68">
        <f t="shared" si="3"/>
        <v>4.6661117121626565E-2</v>
      </c>
    </row>
    <row r="13" spans="1:21" ht="28" x14ac:dyDescent="0.35">
      <c r="A13" s="99"/>
      <c r="B13" s="2">
        <v>8</v>
      </c>
      <c r="C13" s="96"/>
      <c r="D13" s="4" t="s">
        <v>23</v>
      </c>
      <c r="E13" s="2" t="s">
        <v>24</v>
      </c>
      <c r="F13" s="5">
        <f t="shared" si="0"/>
        <v>13.333333333333334</v>
      </c>
      <c r="G13" s="2">
        <v>160</v>
      </c>
      <c r="H13" s="2">
        <v>27308</v>
      </c>
      <c r="I13" s="57">
        <f>'Memória de Cálculo'!O91</f>
        <v>43.38</v>
      </c>
      <c r="J13" s="58">
        <f t="shared" si="6"/>
        <v>6940.8</v>
      </c>
      <c r="K13" s="59">
        <f t="shared" si="1"/>
        <v>20822.400000000001</v>
      </c>
      <c r="L13" s="66">
        <f>'Memória de Cálculo'!O96</f>
        <v>43.23</v>
      </c>
      <c r="M13" s="67">
        <f t="shared" si="4"/>
        <v>6916.7999999999993</v>
      </c>
      <c r="N13" s="67">
        <f t="shared" si="2"/>
        <v>20750.399999999998</v>
      </c>
      <c r="O13" s="68">
        <f t="shared" si="3"/>
        <v>8.9419337676406206E-4</v>
      </c>
    </row>
    <row r="14" spans="1:21" ht="28" x14ac:dyDescent="0.35">
      <c r="A14" s="99"/>
      <c r="B14" s="2">
        <v>9</v>
      </c>
      <c r="C14" s="96"/>
      <c r="D14" s="4" t="s">
        <v>25</v>
      </c>
      <c r="E14" s="2" t="s">
        <v>24</v>
      </c>
      <c r="F14" s="5">
        <f t="shared" si="0"/>
        <v>3.5</v>
      </c>
      <c r="G14" s="2">
        <v>42</v>
      </c>
      <c r="H14" s="2">
        <v>27308</v>
      </c>
      <c r="I14" s="57">
        <f>'Memória de Cálculo'!P91</f>
        <v>70.849999999999994</v>
      </c>
      <c r="J14" s="58">
        <f t="shared" si="6"/>
        <v>2975.7</v>
      </c>
      <c r="K14" s="59">
        <f t="shared" si="1"/>
        <v>8927.0999999999985</v>
      </c>
      <c r="L14" s="66">
        <f>'Memória de Cálculo'!P96</f>
        <v>70.849999999999994</v>
      </c>
      <c r="M14" s="67">
        <f t="shared" si="4"/>
        <v>2975.7</v>
      </c>
      <c r="N14" s="67">
        <f t="shared" si="2"/>
        <v>8927.0999999999985</v>
      </c>
      <c r="O14" s="68">
        <f t="shared" si="3"/>
        <v>3.8469396704210321E-4</v>
      </c>
    </row>
    <row r="15" spans="1:21" x14ac:dyDescent="0.35">
      <c r="A15" s="99"/>
      <c r="B15" s="2">
        <v>10</v>
      </c>
      <c r="C15" s="96"/>
      <c r="D15" s="4" t="s">
        <v>28</v>
      </c>
      <c r="E15" s="2" t="s">
        <v>67</v>
      </c>
      <c r="F15" s="5">
        <f t="shared" si="0"/>
        <v>41.339999999999996</v>
      </c>
      <c r="G15" s="2">
        <v>496.08</v>
      </c>
      <c r="H15" s="2">
        <v>27308</v>
      </c>
      <c r="I15" s="57">
        <f>'Memória de Cálculo'!G91</f>
        <v>620.17999999999995</v>
      </c>
      <c r="J15" s="58">
        <f t="shared" si="6"/>
        <v>307658.89439999999</v>
      </c>
      <c r="K15" s="59">
        <f t="shared" si="1"/>
        <v>922976.68319999997</v>
      </c>
      <c r="L15" s="66">
        <f>'Memória de Cálculo'!G96</f>
        <v>627.86</v>
      </c>
      <c r="M15" s="67">
        <f>L15*G15</f>
        <v>311468.78879999998</v>
      </c>
      <c r="N15" s="67">
        <f>ROUNDDOWN(M15*3,2)</f>
        <v>934406.36</v>
      </c>
      <c r="O15" s="68">
        <f>N15/$N$27</f>
        <v>4.0266210690792267E-2</v>
      </c>
    </row>
    <row r="16" spans="1:21" ht="28" x14ac:dyDescent="0.35">
      <c r="A16" s="99"/>
      <c r="B16" s="2">
        <v>11</v>
      </c>
      <c r="C16" s="96"/>
      <c r="D16" s="4" t="s">
        <v>30</v>
      </c>
      <c r="E16" s="2" t="s">
        <v>31</v>
      </c>
      <c r="F16" s="49">
        <f t="shared" si="0"/>
        <v>20</v>
      </c>
      <c r="G16" s="7">
        <v>240</v>
      </c>
      <c r="H16" s="2">
        <v>27308</v>
      </c>
      <c r="I16" s="57">
        <f>'Memória de Cálculo'!H91</f>
        <v>559.62333333333333</v>
      </c>
      <c r="J16" s="58">
        <f t="shared" si="6"/>
        <v>134309.6</v>
      </c>
      <c r="K16" s="59">
        <f t="shared" si="1"/>
        <v>402928.80000000005</v>
      </c>
      <c r="L16" s="66">
        <f>'Memória de Cálculo'!H96</f>
        <v>456.55</v>
      </c>
      <c r="M16" s="67">
        <f t="shared" si="4"/>
        <v>109572</v>
      </c>
      <c r="N16" s="67">
        <f t="shared" si="2"/>
        <v>328716</v>
      </c>
      <c r="O16" s="68">
        <f t="shared" si="3"/>
        <v>1.41653013935334E-2</v>
      </c>
    </row>
    <row r="17" spans="1:15" x14ac:dyDescent="0.35">
      <c r="A17" s="99"/>
      <c r="B17" s="2">
        <v>12</v>
      </c>
      <c r="C17" s="96"/>
      <c r="D17" s="4" t="s">
        <v>32</v>
      </c>
      <c r="E17" s="2" t="s">
        <v>33</v>
      </c>
      <c r="F17" s="49">
        <f t="shared" si="0"/>
        <v>1</v>
      </c>
      <c r="G17" s="7">
        <v>12</v>
      </c>
      <c r="H17" s="2">
        <v>27081</v>
      </c>
      <c r="I17" s="57">
        <f>'Memória de Cálculo'!I97</f>
        <v>1667</v>
      </c>
      <c r="J17" s="58">
        <f t="shared" si="6"/>
        <v>20004</v>
      </c>
      <c r="K17" s="59">
        <f t="shared" si="1"/>
        <v>60012</v>
      </c>
      <c r="L17" s="66">
        <f>'Memória de Cálculo'!I96</f>
        <v>1667</v>
      </c>
      <c r="M17" s="67">
        <f t="shared" si="4"/>
        <v>20004</v>
      </c>
      <c r="N17" s="67">
        <f t="shared" si="2"/>
        <v>60012</v>
      </c>
      <c r="O17" s="70">
        <f t="shared" si="3"/>
        <v>2.5860866742985628E-3</v>
      </c>
    </row>
    <row r="18" spans="1:15" ht="28" x14ac:dyDescent="0.35">
      <c r="A18" s="99"/>
      <c r="B18" s="2">
        <v>13</v>
      </c>
      <c r="C18" s="96"/>
      <c r="D18" s="4" t="s">
        <v>68</v>
      </c>
      <c r="E18" s="2" t="s">
        <v>36</v>
      </c>
      <c r="F18" s="49">
        <f t="shared" si="0"/>
        <v>125</v>
      </c>
      <c r="G18" s="7">
        <v>1500</v>
      </c>
      <c r="H18" s="2">
        <v>27286</v>
      </c>
      <c r="I18" s="57">
        <f>'Memória de Cálculo'!J91</f>
        <v>1.4833333333333332</v>
      </c>
      <c r="J18" s="58">
        <f t="shared" si="6"/>
        <v>2224.9999999999995</v>
      </c>
      <c r="K18" s="59">
        <f t="shared" si="1"/>
        <v>6674.9999999999982</v>
      </c>
      <c r="L18" s="66">
        <f>'Memória de Cálculo'!J96</f>
        <v>1.1619999999999999</v>
      </c>
      <c r="M18" s="67">
        <f t="shared" si="4"/>
        <v>1742.9999999999998</v>
      </c>
      <c r="N18" s="67">
        <f t="shared" si="2"/>
        <v>5228.9999999999991</v>
      </c>
      <c r="O18" s="68">
        <f t="shared" si="3"/>
        <v>2.2533238718768219E-4</v>
      </c>
    </row>
    <row r="19" spans="1:15" ht="28" x14ac:dyDescent="0.35">
      <c r="A19" s="99"/>
      <c r="B19" s="2">
        <v>14</v>
      </c>
      <c r="C19" s="96"/>
      <c r="D19" s="4" t="s">
        <v>35</v>
      </c>
      <c r="E19" s="2" t="s">
        <v>36</v>
      </c>
      <c r="F19" s="49">
        <f t="shared" si="0"/>
        <v>4166.666666666667</v>
      </c>
      <c r="G19" s="7">
        <v>50000</v>
      </c>
      <c r="H19" s="2">
        <v>27286</v>
      </c>
      <c r="I19" s="57">
        <f>'Memória de Cálculo'!K91</f>
        <v>1.2666666666666666</v>
      </c>
      <c r="J19" s="58">
        <f t="shared" si="6"/>
        <v>63333.333333333328</v>
      </c>
      <c r="K19" s="59">
        <f t="shared" si="1"/>
        <v>190000</v>
      </c>
      <c r="L19" s="66">
        <f>'Memória de Cálculo'!K96</f>
        <v>0.996</v>
      </c>
      <c r="M19" s="67">
        <f>L19*G19</f>
        <v>49800</v>
      </c>
      <c r="N19" s="67">
        <f>M19*1</f>
        <v>49800</v>
      </c>
      <c r="O19" s="68">
        <f t="shared" si="3"/>
        <v>2.1460227351207829E-3</v>
      </c>
    </row>
    <row r="20" spans="1:15" ht="28" x14ac:dyDescent="0.35">
      <c r="A20" s="100"/>
      <c r="B20" s="2">
        <v>15</v>
      </c>
      <c r="C20" s="97"/>
      <c r="D20" s="4" t="s">
        <v>37</v>
      </c>
      <c r="E20" s="2" t="s">
        <v>38</v>
      </c>
      <c r="F20" s="49">
        <f t="shared" si="0"/>
        <v>4166.666666666667</v>
      </c>
      <c r="G20" s="7">
        <v>50000</v>
      </c>
      <c r="H20" s="2">
        <v>27260</v>
      </c>
      <c r="I20" s="57">
        <f>'Memória de Cálculo'!L91</f>
        <v>2.9233333333333338</v>
      </c>
      <c r="J20" s="58">
        <f t="shared" si="6"/>
        <v>146166.66666666669</v>
      </c>
      <c r="K20" s="59">
        <f t="shared" si="1"/>
        <v>438500.00000000006</v>
      </c>
      <c r="L20" s="66">
        <f>'Memória de Cálculo'!L96</f>
        <v>2.286</v>
      </c>
      <c r="M20" s="67">
        <f t="shared" si="4"/>
        <v>114300</v>
      </c>
      <c r="N20" s="67">
        <f>M20*1</f>
        <v>114300</v>
      </c>
      <c r="O20" s="68">
        <f>N20/$N$27</f>
        <v>4.9255100125362552E-3</v>
      </c>
    </row>
    <row r="21" spans="1:15" x14ac:dyDescent="0.35">
      <c r="A21" s="92" t="s">
        <v>47</v>
      </c>
      <c r="B21" s="2">
        <v>16</v>
      </c>
      <c r="C21" s="93" t="s">
        <v>77</v>
      </c>
      <c r="D21" s="4" t="s">
        <v>71</v>
      </c>
      <c r="E21" s="2" t="s">
        <v>78</v>
      </c>
      <c r="F21" s="49">
        <f t="shared" ref="F21:F25" si="7">G21/12</f>
        <v>2</v>
      </c>
      <c r="G21" s="7">
        <v>24</v>
      </c>
      <c r="H21" s="2">
        <v>26492</v>
      </c>
      <c r="I21" s="57">
        <f>'Memória de Cálculo'!D114</f>
        <v>10122.125</v>
      </c>
      <c r="J21" s="58">
        <f t="shared" ref="J21:J25" si="8">I21*G21</f>
        <v>242931</v>
      </c>
      <c r="K21" s="59">
        <f t="shared" si="1"/>
        <v>728793</v>
      </c>
      <c r="L21" s="66">
        <f>'Memória de Cálculo'!D119</f>
        <v>9950</v>
      </c>
      <c r="M21" s="67">
        <f t="shared" si="4"/>
        <v>238800</v>
      </c>
      <c r="N21" s="67">
        <f t="shared" si="2"/>
        <v>716400</v>
      </c>
      <c r="O21" s="68">
        <f t="shared" si="3"/>
        <v>3.0871700551014639E-2</v>
      </c>
    </row>
    <row r="22" spans="1:15" x14ac:dyDescent="0.35">
      <c r="A22" s="92"/>
      <c r="B22" s="2">
        <v>17</v>
      </c>
      <c r="C22" s="93"/>
      <c r="D22" s="4" t="s">
        <v>72</v>
      </c>
      <c r="E22" s="2" t="s">
        <v>79</v>
      </c>
      <c r="F22" s="49">
        <f t="shared" si="7"/>
        <v>2</v>
      </c>
      <c r="G22" s="7">
        <v>24</v>
      </c>
      <c r="H22" s="2">
        <v>26492</v>
      </c>
      <c r="I22" s="57">
        <f>'Memória de Cálculo'!E114</f>
        <v>21000</v>
      </c>
      <c r="J22" s="58">
        <f t="shared" si="8"/>
        <v>504000</v>
      </c>
      <c r="K22" s="59">
        <f t="shared" si="1"/>
        <v>1512000</v>
      </c>
      <c r="L22" s="66">
        <f>'Memória de Cálculo'!E119</f>
        <v>21000</v>
      </c>
      <c r="M22" s="67">
        <f>L22*G22</f>
        <v>504000</v>
      </c>
      <c r="N22" s="67">
        <f t="shared" si="2"/>
        <v>1512000</v>
      </c>
      <c r="O22" s="68">
        <f t="shared" si="3"/>
        <v>6.5156352921739435E-2</v>
      </c>
    </row>
    <row r="23" spans="1:15" x14ac:dyDescent="0.35">
      <c r="A23" s="92"/>
      <c r="B23" s="2">
        <v>18</v>
      </c>
      <c r="C23" s="93"/>
      <c r="D23" s="4" t="s">
        <v>73</v>
      </c>
      <c r="E23" s="52" t="s">
        <v>80</v>
      </c>
      <c r="F23" s="49">
        <f t="shared" si="7"/>
        <v>8.3333333333333339</v>
      </c>
      <c r="G23" s="7">
        <v>100</v>
      </c>
      <c r="H23" s="2">
        <v>27189</v>
      </c>
      <c r="I23" s="57">
        <f>'Memória de Cálculo'!F114</f>
        <v>71.586666666666659</v>
      </c>
      <c r="J23" s="58">
        <f t="shared" si="8"/>
        <v>7158.6666666666661</v>
      </c>
      <c r="K23" s="59">
        <f t="shared" si="1"/>
        <v>21476</v>
      </c>
      <c r="L23" s="66">
        <f>'Memória de Cálculo'!F119</f>
        <v>63.12</v>
      </c>
      <c r="M23" s="67">
        <f>L23*G23</f>
        <v>6312</v>
      </c>
      <c r="N23" s="67">
        <f t="shared" si="2"/>
        <v>18936</v>
      </c>
      <c r="O23" s="68">
        <f t="shared" si="3"/>
        <v>8.1600575325797484E-4</v>
      </c>
    </row>
    <row r="24" spans="1:15" x14ac:dyDescent="0.35">
      <c r="A24" s="92"/>
      <c r="B24" s="2">
        <v>19</v>
      </c>
      <c r="C24" s="93"/>
      <c r="D24" s="4" t="s">
        <v>74</v>
      </c>
      <c r="E24" s="52" t="s">
        <v>80</v>
      </c>
      <c r="F24" s="49">
        <f t="shared" si="7"/>
        <v>12.166666666666666</v>
      </c>
      <c r="G24" s="7">
        <v>146</v>
      </c>
      <c r="H24" s="2">
        <v>27219</v>
      </c>
      <c r="I24" s="57">
        <f>'Memória de Cálculo'!G114</f>
        <v>37.79666666666666</v>
      </c>
      <c r="J24" s="58">
        <f t="shared" si="8"/>
        <v>5518.3133333333326</v>
      </c>
      <c r="K24" s="59">
        <f t="shared" si="1"/>
        <v>16554.939999999999</v>
      </c>
      <c r="L24" s="66">
        <f>'Memória de Cálculo'!G119</f>
        <v>34.86</v>
      </c>
      <c r="M24" s="67">
        <f t="shared" si="4"/>
        <v>5089.5599999999995</v>
      </c>
      <c r="N24" s="67">
        <f t="shared" si="2"/>
        <v>15268.679999999998</v>
      </c>
      <c r="O24" s="68">
        <f t="shared" si="3"/>
        <v>6.5797057058803203E-4</v>
      </c>
    </row>
    <row r="25" spans="1:15" x14ac:dyDescent="0.35">
      <c r="A25" s="92"/>
      <c r="B25" s="2">
        <v>20</v>
      </c>
      <c r="C25" s="93"/>
      <c r="D25" s="53" t="s">
        <v>75</v>
      </c>
      <c r="E25" s="52" t="s">
        <v>80</v>
      </c>
      <c r="F25" s="5">
        <f t="shared" si="7"/>
        <v>8.3333333333333329E-2</v>
      </c>
      <c r="G25" s="7">
        <v>1</v>
      </c>
      <c r="H25" s="2">
        <v>27170</v>
      </c>
      <c r="I25" s="57">
        <f>'Memória de Cálculo'!H114</f>
        <v>1256.085</v>
      </c>
      <c r="J25" s="58">
        <f t="shared" si="8"/>
        <v>1256.085</v>
      </c>
      <c r="K25" s="59">
        <f>J25*3</f>
        <v>3768.2550000000001</v>
      </c>
      <c r="L25" s="66">
        <f>'Memória de Cálculo'!H119</f>
        <v>1181.3</v>
      </c>
      <c r="M25" s="67">
        <f t="shared" si="4"/>
        <v>1181.3</v>
      </c>
      <c r="N25" s="67">
        <f t="shared" si="2"/>
        <v>3543.8999999999996</v>
      </c>
      <c r="O25" s="68">
        <f t="shared" si="3"/>
        <v>1.5271666608422776E-4</v>
      </c>
    </row>
    <row r="26" spans="1:15" x14ac:dyDescent="0.35">
      <c r="A26" s="2" t="s">
        <v>76</v>
      </c>
      <c r="B26" s="2">
        <v>21</v>
      </c>
      <c r="C26" s="11" t="s">
        <v>34</v>
      </c>
      <c r="D26" s="4" t="s">
        <v>39</v>
      </c>
      <c r="E26" s="2" t="s">
        <v>40</v>
      </c>
      <c r="F26" s="2">
        <v>1</v>
      </c>
      <c r="G26" s="2">
        <v>1</v>
      </c>
      <c r="H26" s="2"/>
      <c r="I26" s="60">
        <v>752327</v>
      </c>
      <c r="J26" s="61">
        <f t="shared" si="6"/>
        <v>752327</v>
      </c>
      <c r="K26" s="59">
        <f>J26*3</f>
        <v>2256981</v>
      </c>
      <c r="L26" s="66">
        <f>I26</f>
        <v>752327</v>
      </c>
      <c r="M26" s="67">
        <f t="shared" si="4"/>
        <v>752327</v>
      </c>
      <c r="N26" s="67">
        <f t="shared" si="2"/>
        <v>2256981</v>
      </c>
      <c r="O26" s="68">
        <f t="shared" si="3"/>
        <v>9.7259689532844182E-2</v>
      </c>
    </row>
    <row r="27" spans="1:15" x14ac:dyDescent="0.35">
      <c r="A27" s="88" t="s">
        <v>46</v>
      </c>
      <c r="B27" s="89"/>
      <c r="C27" s="89"/>
      <c r="D27" s="89"/>
      <c r="E27" s="89"/>
      <c r="F27" s="89"/>
      <c r="G27" s="89"/>
      <c r="H27" s="89"/>
      <c r="I27" s="90"/>
      <c r="J27" s="62">
        <f>SUM(J6:J26)</f>
        <v>8213514.9027333325</v>
      </c>
      <c r="K27" s="63">
        <f>SUM(K6:K26)</f>
        <v>24640544.708200004</v>
      </c>
      <c r="L27" s="71"/>
      <c r="M27" s="72">
        <f>ROUNDDOWN(SUM(M6:M26),2)</f>
        <v>7844639.5800000001</v>
      </c>
      <c r="N27" s="85">
        <f>SUM(N6:N26)</f>
        <v>23205718.739599999</v>
      </c>
      <c r="O27" s="73">
        <f>SUM(O6:O26)</f>
        <v>1.0000000000000002</v>
      </c>
    </row>
    <row r="28" spans="1:15" x14ac:dyDescent="0.35">
      <c r="L28" s="86" t="s">
        <v>127</v>
      </c>
      <c r="M28" s="86"/>
      <c r="N28" s="84">
        <f>(K27-N27)/K27</f>
        <v>5.8230286123606527E-2</v>
      </c>
    </row>
    <row r="30" spans="1:15" x14ac:dyDescent="0.35">
      <c r="D30">
        <f>3/4</f>
        <v>0.75</v>
      </c>
      <c r="M30" s="74"/>
    </row>
    <row r="43" spans="13:15" x14ac:dyDescent="0.35">
      <c r="M43" s="126"/>
    </row>
    <row r="44" spans="13:15" x14ac:dyDescent="0.35">
      <c r="M44" s="126"/>
    </row>
    <row r="45" spans="13:15" x14ac:dyDescent="0.35">
      <c r="M45" s="126"/>
      <c r="O45" s="74"/>
    </row>
    <row r="46" spans="13:15" x14ac:dyDescent="0.35">
      <c r="M46" s="126"/>
    </row>
    <row r="47" spans="13:15" x14ac:dyDescent="0.35">
      <c r="M47" s="126"/>
    </row>
  </sheetData>
  <mergeCells count="13">
    <mergeCell ref="L28:M28"/>
    <mergeCell ref="I4:K4"/>
    <mergeCell ref="A27:I27"/>
    <mergeCell ref="L4:O4"/>
    <mergeCell ref="A6:A7"/>
    <mergeCell ref="C6:C7"/>
    <mergeCell ref="D6:D7"/>
    <mergeCell ref="C21:C25"/>
    <mergeCell ref="A21:A25"/>
    <mergeCell ref="C12:C20"/>
    <mergeCell ref="A12:A20"/>
    <mergeCell ref="A8:A9"/>
    <mergeCell ref="C8:C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42DEE-BBC4-4A75-957E-FEA4E317D0FC}">
  <dimension ref="A1:P125"/>
  <sheetViews>
    <sheetView topLeftCell="A73" workbookViewId="0">
      <selection activeCell="F63" sqref="F63:F66"/>
    </sheetView>
  </sheetViews>
  <sheetFormatPr defaultRowHeight="14.5" x14ac:dyDescent="0.35"/>
  <cols>
    <col min="1" max="1" width="9.6328125" bestFit="1" customWidth="1"/>
    <col min="2" max="2" width="48.81640625" customWidth="1"/>
    <col min="3" max="3" width="14.08984375" customWidth="1"/>
    <col min="4" max="4" width="13.453125" bestFit="1" customWidth="1"/>
    <col min="5" max="5" width="13.36328125" bestFit="1" customWidth="1"/>
    <col min="6" max="6" width="12.36328125" customWidth="1"/>
    <col min="7" max="7" width="9.81640625" bestFit="1" customWidth="1"/>
    <col min="8" max="12" width="12.36328125" customWidth="1"/>
    <col min="13" max="13" width="13" customWidth="1"/>
    <col min="14" max="14" width="12.36328125" bestFit="1" customWidth="1"/>
    <col min="15" max="15" width="11.36328125" bestFit="1" customWidth="1"/>
    <col min="16" max="16" width="12.26953125" bestFit="1" customWidth="1"/>
  </cols>
  <sheetData>
    <row r="1" spans="1:13" ht="29.5" customHeight="1" x14ac:dyDescent="0.35">
      <c r="A1" s="120" t="s">
        <v>91</v>
      </c>
      <c r="B1" s="121"/>
      <c r="C1" s="122"/>
      <c r="D1" s="12" t="s">
        <v>89</v>
      </c>
      <c r="E1" s="12" t="s">
        <v>90</v>
      </c>
      <c r="F1" s="23"/>
      <c r="G1" s="24"/>
      <c r="H1" s="24"/>
      <c r="I1" s="24"/>
      <c r="J1" s="24"/>
      <c r="K1" s="24"/>
      <c r="L1" s="24"/>
      <c r="M1" s="24"/>
    </row>
    <row r="2" spans="1:13" x14ac:dyDescent="0.35">
      <c r="A2" s="118" t="s">
        <v>49</v>
      </c>
      <c r="B2" s="118" t="s">
        <v>58</v>
      </c>
      <c r="C2" s="12" t="s">
        <v>59</v>
      </c>
      <c r="D2" s="12" t="s">
        <v>50</v>
      </c>
      <c r="E2" s="12" t="s">
        <v>50</v>
      </c>
      <c r="F2" s="8"/>
      <c r="G2" s="24"/>
      <c r="H2" s="24"/>
      <c r="I2" s="24"/>
      <c r="J2" s="24"/>
      <c r="K2" s="24"/>
      <c r="L2" s="24"/>
      <c r="M2" s="24"/>
    </row>
    <row r="3" spans="1:13" x14ac:dyDescent="0.35">
      <c r="A3" s="118"/>
      <c r="B3" s="118"/>
      <c r="C3" s="12" t="s">
        <v>60</v>
      </c>
      <c r="D3" s="12" t="s">
        <v>51</v>
      </c>
      <c r="E3" s="12" t="s">
        <v>51</v>
      </c>
      <c r="F3" s="8"/>
      <c r="G3" s="24"/>
      <c r="H3" s="24"/>
      <c r="I3" s="24"/>
      <c r="J3" s="24"/>
      <c r="K3" s="24"/>
      <c r="L3" s="24"/>
      <c r="M3" s="24"/>
    </row>
    <row r="4" spans="1:13" ht="72.5" x14ac:dyDescent="0.35">
      <c r="A4" s="18">
        <v>1</v>
      </c>
      <c r="B4" s="19" t="s">
        <v>128</v>
      </c>
      <c r="C4" s="107">
        <v>9976300</v>
      </c>
      <c r="D4" s="41">
        <f>0.6*152749.17</f>
        <v>91649.502000000008</v>
      </c>
      <c r="E4" s="41">
        <f>(0.4*152749.17)/8</f>
        <v>7637.4585000000006</v>
      </c>
      <c r="F4" s="42">
        <v>0.6</v>
      </c>
      <c r="G4" s="42">
        <v>0.4</v>
      </c>
      <c r="H4" s="25"/>
      <c r="I4" s="25"/>
      <c r="J4" s="25"/>
      <c r="K4" s="25"/>
      <c r="L4" s="25"/>
      <c r="M4" s="26"/>
    </row>
    <row r="5" spans="1:13" ht="58" x14ac:dyDescent="0.35">
      <c r="A5" s="18">
        <v>2</v>
      </c>
      <c r="B5" s="19" t="s">
        <v>116</v>
      </c>
      <c r="C5" s="108"/>
      <c r="D5" s="41">
        <f>0.6*178850.25</f>
        <v>107310.15</v>
      </c>
      <c r="E5" s="41">
        <f>(0.4*178850.25)/8</f>
        <v>8942.5125000000007</v>
      </c>
      <c r="F5" s="8"/>
      <c r="G5" s="27"/>
      <c r="H5" s="27"/>
      <c r="I5" s="27"/>
      <c r="J5" s="27"/>
      <c r="K5" s="27"/>
      <c r="L5" s="27"/>
      <c r="M5" s="26"/>
    </row>
    <row r="6" spans="1:13" ht="43.5" x14ac:dyDescent="0.35">
      <c r="A6" s="18">
        <v>3</v>
      </c>
      <c r="B6" s="19" t="s">
        <v>118</v>
      </c>
      <c r="C6" s="108"/>
      <c r="D6" s="41">
        <f>0.6*131769.4</f>
        <v>79061.64</v>
      </c>
      <c r="E6" s="41">
        <f>(0.4*131769.4)/8</f>
        <v>6588.47</v>
      </c>
      <c r="F6" s="8"/>
      <c r="G6" s="25"/>
      <c r="H6" s="25"/>
      <c r="I6" s="25"/>
      <c r="J6" s="25"/>
      <c r="K6" s="25"/>
      <c r="L6" s="25"/>
      <c r="M6" s="26"/>
    </row>
    <row r="7" spans="1:13" ht="29" x14ac:dyDescent="0.35">
      <c r="A7" s="18">
        <v>4</v>
      </c>
      <c r="B7" s="19" t="s">
        <v>120</v>
      </c>
      <c r="C7" s="109"/>
      <c r="D7" s="41">
        <f>0.6*172318.39</f>
        <v>103391.034</v>
      </c>
      <c r="E7" s="41">
        <f>(0.4*172318.39)/8</f>
        <v>8615.9195000000018</v>
      </c>
      <c r="F7" s="8"/>
      <c r="M7" s="26"/>
    </row>
    <row r="8" spans="1:13" x14ac:dyDescent="0.35">
      <c r="A8" s="116" t="s">
        <v>52</v>
      </c>
      <c r="B8" s="116"/>
      <c r="C8" s="116"/>
      <c r="D8" s="32">
        <f>AVERAGE(D4:D7)</f>
        <v>95353.0815</v>
      </c>
      <c r="E8" s="32">
        <f>AVERAGE(E4:E7)</f>
        <v>7946.0901250000006</v>
      </c>
      <c r="F8" s="8"/>
      <c r="G8" s="33"/>
      <c r="H8" s="28"/>
      <c r="I8" s="28"/>
      <c r="J8" s="28"/>
      <c r="K8" s="28"/>
      <c r="L8" s="28"/>
      <c r="M8" s="123"/>
    </row>
    <row r="9" spans="1:13" x14ac:dyDescent="0.35">
      <c r="A9" s="116" t="s">
        <v>54</v>
      </c>
      <c r="B9" s="116"/>
      <c r="C9" s="116"/>
      <c r="D9" s="40">
        <f>_xlfn.STDEV.S(D4:D7)</f>
        <v>12737.186172341901</v>
      </c>
      <c r="E9" s="40">
        <f>_xlfn.STDEV.S(E4:E7)</f>
        <v>1061.4321810284948</v>
      </c>
      <c r="F9" s="8"/>
      <c r="G9" s="33"/>
      <c r="H9" s="28"/>
      <c r="I9" s="28"/>
      <c r="J9" s="28"/>
      <c r="K9" s="28"/>
      <c r="L9" s="28"/>
      <c r="M9" s="123"/>
    </row>
    <row r="10" spans="1:13" x14ac:dyDescent="0.35">
      <c r="A10" s="116" t="s">
        <v>55</v>
      </c>
      <c r="B10" s="116"/>
      <c r="C10" s="116"/>
      <c r="D10" s="40">
        <f>D8+D9</f>
        <v>108090.2676723419</v>
      </c>
      <c r="E10" s="40">
        <f>E8+E9</f>
        <v>9007.5223060284952</v>
      </c>
      <c r="F10" s="8"/>
      <c r="G10" s="33"/>
      <c r="H10" s="28"/>
      <c r="I10" s="28"/>
      <c r="J10" s="28"/>
      <c r="K10" s="28"/>
      <c r="L10" s="28"/>
      <c r="M10" s="123"/>
    </row>
    <row r="11" spans="1:13" x14ac:dyDescent="0.35">
      <c r="A11" s="116" t="s">
        <v>56</v>
      </c>
      <c r="B11" s="116"/>
      <c r="C11" s="116"/>
      <c r="D11" s="40">
        <f>D8-D9</f>
        <v>82615.895327658101</v>
      </c>
      <c r="E11" s="40">
        <f>E8-E9</f>
        <v>6884.657943971506</v>
      </c>
      <c r="F11" s="8"/>
      <c r="G11" s="33"/>
      <c r="H11" s="28"/>
      <c r="I11" s="28"/>
      <c r="J11" s="28"/>
      <c r="K11" s="28"/>
      <c r="L11" s="28"/>
      <c r="M11" s="123"/>
    </row>
    <row r="12" spans="1:13" x14ac:dyDescent="0.35">
      <c r="A12" s="116" t="s">
        <v>57</v>
      </c>
      <c r="B12" s="116"/>
      <c r="C12" s="116"/>
      <c r="D12" s="31">
        <f>D9/D8</f>
        <v>0.13357917722189083</v>
      </c>
      <c r="E12" s="31">
        <f>E9/E8</f>
        <v>0.13357917722189122</v>
      </c>
      <c r="F12" s="8"/>
      <c r="G12" s="33"/>
      <c r="H12" s="28"/>
      <c r="I12" s="28"/>
      <c r="J12" s="28"/>
      <c r="K12" s="28"/>
      <c r="L12" s="28"/>
      <c r="M12" s="123"/>
    </row>
    <row r="13" spans="1:13" x14ac:dyDescent="0.35">
      <c r="A13" s="119" t="s">
        <v>61</v>
      </c>
      <c r="B13" s="119"/>
      <c r="C13" s="119"/>
      <c r="D13" s="48">
        <v>91100.175700000007</v>
      </c>
      <c r="E13" s="48">
        <v>7591.6813000000002</v>
      </c>
      <c r="F13" s="8"/>
      <c r="G13" s="28"/>
      <c r="H13" s="28"/>
      <c r="I13" s="28"/>
      <c r="J13" s="28"/>
      <c r="K13" s="28"/>
      <c r="L13" s="28"/>
      <c r="M13" s="28"/>
    </row>
    <row r="14" spans="1:13" x14ac:dyDescent="0.35">
      <c r="A14" s="116" t="s">
        <v>62</v>
      </c>
      <c r="B14" s="116"/>
      <c r="C14" s="116"/>
      <c r="D14" s="32">
        <f>D13</f>
        <v>91100.175700000007</v>
      </c>
      <c r="E14" s="32">
        <f>E13</f>
        <v>7591.6813000000002</v>
      </c>
      <c r="F14" s="8"/>
      <c r="G14" s="29"/>
      <c r="H14" s="29"/>
      <c r="I14" s="29"/>
      <c r="J14" s="29"/>
      <c r="K14" s="29"/>
      <c r="L14" s="29"/>
      <c r="M14" s="29"/>
    </row>
    <row r="15" spans="1:13" x14ac:dyDescent="0.35">
      <c r="A15" s="114" t="s">
        <v>115</v>
      </c>
      <c r="B15" s="114"/>
      <c r="C15" s="114"/>
      <c r="D15" s="80">
        <f>(D8-D13)/D8</f>
        <v>4.460166082833928E-2</v>
      </c>
      <c r="E15" s="80">
        <f>(E8-E13)/E8</f>
        <v>4.4601661877073213E-2</v>
      </c>
    </row>
    <row r="17" spans="1:15" ht="32" customHeight="1" x14ac:dyDescent="0.35">
      <c r="A17" s="117" t="s">
        <v>92</v>
      </c>
      <c r="B17" s="117"/>
      <c r="C17" s="117"/>
      <c r="D17" s="12" t="s">
        <v>97</v>
      </c>
      <c r="E17" s="12" t="s">
        <v>98</v>
      </c>
      <c r="F17" s="101" t="s">
        <v>48</v>
      </c>
      <c r="G17" s="12" t="s">
        <v>98</v>
      </c>
      <c r="H17" s="24"/>
      <c r="I17" s="24"/>
      <c r="J17" s="24"/>
      <c r="K17" s="24"/>
      <c r="L17" s="24"/>
      <c r="M17" s="23"/>
      <c r="N17" s="24"/>
      <c r="O17" s="24"/>
    </row>
    <row r="18" spans="1:15" ht="29" x14ac:dyDescent="0.35">
      <c r="A18" s="118" t="s">
        <v>49</v>
      </c>
      <c r="B18" s="118" t="s">
        <v>58</v>
      </c>
      <c r="C18" s="12" t="s">
        <v>59</v>
      </c>
      <c r="D18" s="12" t="s">
        <v>50</v>
      </c>
      <c r="E18" s="12" t="s">
        <v>50</v>
      </c>
      <c r="F18" s="102"/>
      <c r="G18" s="12" t="s">
        <v>50</v>
      </c>
      <c r="H18" s="24"/>
      <c r="I18" s="24"/>
      <c r="J18" s="24"/>
      <c r="K18" s="24"/>
      <c r="L18" s="24"/>
      <c r="M18" s="8"/>
      <c r="N18" s="24"/>
      <c r="O18" s="24"/>
    </row>
    <row r="19" spans="1:15" x14ac:dyDescent="0.35">
      <c r="A19" s="118"/>
      <c r="B19" s="118"/>
      <c r="C19" s="12" t="s">
        <v>60</v>
      </c>
      <c r="D19" s="12" t="s">
        <v>51</v>
      </c>
      <c r="E19" s="12" t="s">
        <v>51</v>
      </c>
      <c r="F19" s="102"/>
      <c r="G19" s="12" t="s">
        <v>51</v>
      </c>
      <c r="H19" s="24"/>
      <c r="I19" s="24"/>
      <c r="J19" s="24"/>
      <c r="K19" s="24"/>
      <c r="L19" s="24"/>
      <c r="M19" s="8"/>
      <c r="N19" s="24"/>
      <c r="O19" s="24"/>
    </row>
    <row r="20" spans="1:15" ht="43.5" x14ac:dyDescent="0.35">
      <c r="A20" s="18">
        <v>1</v>
      </c>
      <c r="B20" s="19" t="s">
        <v>121</v>
      </c>
      <c r="C20" s="107">
        <v>9976300</v>
      </c>
      <c r="D20" s="20">
        <v>2297.56</v>
      </c>
      <c r="E20" s="20"/>
      <c r="F20" s="102"/>
      <c r="G20" s="13"/>
      <c r="H20" s="27"/>
      <c r="I20" s="27"/>
      <c r="J20" s="27"/>
      <c r="K20" s="27"/>
      <c r="L20" s="27"/>
      <c r="M20" s="8"/>
      <c r="N20" s="25"/>
      <c r="O20" s="26"/>
    </row>
    <row r="21" spans="1:15" ht="43.5" x14ac:dyDescent="0.35">
      <c r="A21" s="18">
        <v>2</v>
      </c>
      <c r="B21" s="19" t="s">
        <v>129</v>
      </c>
      <c r="C21" s="108"/>
      <c r="D21" s="21">
        <v>2084.54</v>
      </c>
      <c r="E21" s="21"/>
      <c r="F21" s="102"/>
      <c r="G21" s="13"/>
      <c r="H21" s="27"/>
      <c r="I21" s="27"/>
      <c r="J21" s="27"/>
      <c r="K21" s="27"/>
      <c r="L21" s="27"/>
      <c r="M21" s="8"/>
      <c r="N21" s="27"/>
      <c r="O21" s="26"/>
    </row>
    <row r="22" spans="1:15" ht="29" x14ac:dyDescent="0.35">
      <c r="A22" s="18">
        <v>3</v>
      </c>
      <c r="B22" s="19" t="s">
        <v>120</v>
      </c>
      <c r="C22" s="108"/>
      <c r="D22" s="21">
        <v>2176.75</v>
      </c>
      <c r="E22" s="21"/>
      <c r="F22" s="102"/>
      <c r="G22" s="13"/>
      <c r="H22" s="27"/>
      <c r="I22" s="27"/>
      <c r="J22" s="27"/>
      <c r="K22" s="27"/>
      <c r="L22" s="27"/>
      <c r="M22" s="8"/>
      <c r="N22" s="25"/>
      <c r="O22" s="26"/>
    </row>
    <row r="23" spans="1:15" ht="29" x14ac:dyDescent="0.35">
      <c r="A23" s="18">
        <v>4</v>
      </c>
      <c r="B23" s="19" t="s">
        <v>122</v>
      </c>
      <c r="C23" s="108"/>
      <c r="D23" s="21">
        <v>2330.25</v>
      </c>
      <c r="E23" s="21"/>
      <c r="F23" s="102"/>
      <c r="G23" s="13"/>
      <c r="H23" s="27"/>
      <c r="I23" s="27"/>
      <c r="J23" s="27"/>
      <c r="K23" s="27"/>
      <c r="L23" s="27"/>
      <c r="M23" s="8"/>
      <c r="N23" s="25"/>
      <c r="O23" s="26"/>
    </row>
    <row r="24" spans="1:15" ht="29" x14ac:dyDescent="0.35">
      <c r="A24" s="18">
        <v>5</v>
      </c>
      <c r="B24" s="19" t="s">
        <v>123</v>
      </c>
      <c r="C24" s="108"/>
      <c r="D24" s="21">
        <v>2175.9299999999998</v>
      </c>
      <c r="E24" s="21"/>
      <c r="F24" s="102"/>
      <c r="G24" s="13"/>
      <c r="H24" s="27"/>
      <c r="I24" s="27"/>
      <c r="J24" s="27"/>
      <c r="K24" s="27"/>
      <c r="L24" s="27"/>
      <c r="M24" s="8"/>
      <c r="N24" s="25"/>
      <c r="O24" s="26"/>
    </row>
    <row r="25" spans="1:15" ht="58" x14ac:dyDescent="0.35">
      <c r="A25" s="18">
        <v>6</v>
      </c>
      <c r="B25" s="19" t="s">
        <v>116</v>
      </c>
      <c r="C25" s="108"/>
      <c r="D25" s="21"/>
      <c r="E25" s="21">
        <v>627.86</v>
      </c>
      <c r="F25" s="102"/>
      <c r="G25" s="13">
        <f>E25</f>
        <v>627.86</v>
      </c>
      <c r="H25" s="27"/>
      <c r="I25" s="27"/>
      <c r="J25" s="27"/>
      <c r="K25" s="27"/>
      <c r="L25" s="27"/>
      <c r="M25" s="8"/>
      <c r="N25" s="25"/>
      <c r="O25" s="26"/>
    </row>
    <row r="26" spans="1:15" ht="43.5" x14ac:dyDescent="0.35">
      <c r="A26" s="18">
        <v>7</v>
      </c>
      <c r="B26" s="19" t="s">
        <v>131</v>
      </c>
      <c r="C26" s="108"/>
      <c r="D26" s="21"/>
      <c r="E26" s="20">
        <v>270</v>
      </c>
      <c r="F26" s="102"/>
      <c r="G26" s="13"/>
      <c r="H26" s="27"/>
      <c r="I26" s="27"/>
      <c r="J26" s="27"/>
      <c r="K26" s="27"/>
      <c r="L26" s="27"/>
      <c r="M26" s="8"/>
      <c r="N26" s="25"/>
      <c r="O26" s="26"/>
    </row>
    <row r="27" spans="1:15" ht="43.5" x14ac:dyDescent="0.35">
      <c r="A27" s="18">
        <v>8</v>
      </c>
      <c r="B27" s="19" t="s">
        <v>130</v>
      </c>
      <c r="C27" s="108"/>
      <c r="D27" s="21"/>
      <c r="E27" s="20">
        <v>712.93</v>
      </c>
      <c r="F27" s="102"/>
      <c r="G27" s="13">
        <f>E27</f>
        <v>712.93</v>
      </c>
      <c r="H27" s="27"/>
      <c r="I27" s="27"/>
      <c r="J27" s="27"/>
      <c r="K27" s="27"/>
      <c r="L27" s="27"/>
      <c r="M27" s="8"/>
      <c r="N27" s="25"/>
      <c r="O27" s="26"/>
    </row>
    <row r="28" spans="1:15" ht="29" x14ac:dyDescent="0.35">
      <c r="A28" s="18">
        <v>9</v>
      </c>
      <c r="B28" s="19" t="s">
        <v>119</v>
      </c>
      <c r="C28" s="109"/>
      <c r="D28" s="21"/>
      <c r="E28" s="21">
        <v>507.77</v>
      </c>
      <c r="F28" s="102"/>
      <c r="G28" s="13">
        <f>E28</f>
        <v>507.77</v>
      </c>
      <c r="H28" s="25"/>
      <c r="I28" s="25"/>
      <c r="J28" s="25"/>
      <c r="K28" s="25"/>
      <c r="L28" s="25"/>
      <c r="M28" s="8"/>
      <c r="O28" s="26"/>
    </row>
    <row r="29" spans="1:15" x14ac:dyDescent="0.35">
      <c r="A29" s="116" t="s">
        <v>52</v>
      </c>
      <c r="B29" s="116"/>
      <c r="C29" s="116"/>
      <c r="D29" s="15">
        <f>AVERAGE(D20:D28)</f>
        <v>2213.0060000000003</v>
      </c>
      <c r="E29" s="45">
        <f>AVERAGE(E20:E28)</f>
        <v>529.64</v>
      </c>
      <c r="F29" s="102"/>
      <c r="G29" s="15">
        <f>MEDIAN(G20:G28)</f>
        <v>627.86</v>
      </c>
      <c r="H29" s="16"/>
      <c r="I29" s="16"/>
      <c r="J29" s="16"/>
      <c r="K29" s="16"/>
      <c r="L29" s="16"/>
      <c r="M29" s="8"/>
      <c r="N29" s="33"/>
      <c r="O29" s="33"/>
    </row>
    <row r="30" spans="1:15" x14ac:dyDescent="0.35">
      <c r="A30" s="116" t="s">
        <v>54</v>
      </c>
      <c r="B30" s="116"/>
      <c r="C30" s="116"/>
      <c r="D30" s="21">
        <f>_xlfn.STDEV.S(D20:D28)</f>
        <v>100.11015797610152</v>
      </c>
      <c r="E30" s="21">
        <f>_xlfn.STDEV.S(E20:E28)</f>
        <v>192.4695811463896</v>
      </c>
      <c r="F30" s="102"/>
      <c r="G30" s="104" t="s">
        <v>53</v>
      </c>
      <c r="H30" s="27"/>
      <c r="I30" s="27"/>
      <c r="J30" s="27"/>
      <c r="K30" s="27"/>
      <c r="L30" s="27"/>
      <c r="M30" s="8"/>
      <c r="N30" s="33"/>
      <c r="O30" s="33"/>
    </row>
    <row r="31" spans="1:15" x14ac:dyDescent="0.35">
      <c r="A31" s="116" t="s">
        <v>55</v>
      </c>
      <c r="B31" s="116"/>
      <c r="C31" s="116"/>
      <c r="D31" s="21">
        <f>D29+D30</f>
        <v>2313.1161579761019</v>
      </c>
      <c r="E31" s="21">
        <f>E29+E30</f>
        <v>722.10958114638959</v>
      </c>
      <c r="F31" s="102"/>
      <c r="G31" s="105"/>
      <c r="H31" s="27"/>
      <c r="I31" s="27"/>
      <c r="J31" s="27"/>
      <c r="K31" s="27"/>
      <c r="L31" s="27"/>
      <c r="M31" s="8"/>
      <c r="N31" s="33"/>
      <c r="O31" s="33"/>
    </row>
    <row r="32" spans="1:15" x14ac:dyDescent="0.35">
      <c r="A32" s="116" t="s">
        <v>56</v>
      </c>
      <c r="B32" s="116"/>
      <c r="C32" s="116"/>
      <c r="D32" s="21">
        <f>D29-D30</f>
        <v>2112.8958420238987</v>
      </c>
      <c r="E32" s="21">
        <f>E29-E30</f>
        <v>337.17041885361039</v>
      </c>
      <c r="F32" s="102"/>
      <c r="G32" s="105"/>
      <c r="H32" s="27"/>
      <c r="I32" s="27"/>
      <c r="J32" s="27"/>
      <c r="K32" s="27"/>
      <c r="L32" s="27"/>
      <c r="M32" s="8"/>
      <c r="N32" s="33"/>
      <c r="O32" s="33"/>
    </row>
    <row r="33" spans="1:15" x14ac:dyDescent="0.35">
      <c r="A33" s="116" t="s">
        <v>57</v>
      </c>
      <c r="B33" s="116"/>
      <c r="C33" s="116"/>
      <c r="D33" s="31">
        <f>D30/D29</f>
        <v>4.5237183259377291E-2</v>
      </c>
      <c r="E33" s="83">
        <f>E30/E29</f>
        <v>0.36339698879689902</v>
      </c>
      <c r="F33" s="102"/>
      <c r="G33" s="106"/>
      <c r="H33" s="35"/>
      <c r="I33" s="35"/>
      <c r="J33" s="35"/>
      <c r="K33" s="35"/>
      <c r="L33" s="35"/>
      <c r="M33" s="8"/>
      <c r="N33" s="33"/>
      <c r="O33" s="33"/>
    </row>
    <row r="34" spans="1:15" ht="14.5" customHeight="1" x14ac:dyDescent="0.35">
      <c r="A34" s="119" t="s">
        <v>61</v>
      </c>
      <c r="B34" s="119"/>
      <c r="C34" s="119"/>
      <c r="D34" s="47">
        <v>2171.96</v>
      </c>
      <c r="E34" s="47"/>
      <c r="F34" s="102"/>
      <c r="G34" s="47">
        <v>507.77</v>
      </c>
      <c r="H34" s="35"/>
      <c r="I34" s="35"/>
      <c r="J34" s="35"/>
      <c r="K34" s="35"/>
      <c r="L34" s="35"/>
      <c r="M34" s="8"/>
      <c r="N34" s="33"/>
      <c r="O34" s="33"/>
    </row>
    <row r="35" spans="1:15" ht="14.5" customHeight="1" x14ac:dyDescent="0.35">
      <c r="A35" s="116" t="s">
        <v>62</v>
      </c>
      <c r="B35" s="116"/>
      <c r="C35" s="116"/>
      <c r="D35" s="22">
        <f>D34</f>
        <v>2171.96</v>
      </c>
      <c r="E35" s="22"/>
      <c r="F35" s="102"/>
      <c r="G35" s="22">
        <f>G34</f>
        <v>507.77</v>
      </c>
      <c r="H35" s="36"/>
      <c r="I35" s="36"/>
      <c r="J35" s="36"/>
      <c r="K35" s="36"/>
      <c r="L35" s="36"/>
      <c r="M35" s="8"/>
      <c r="N35" s="29"/>
      <c r="O35" s="29"/>
    </row>
    <row r="36" spans="1:15" x14ac:dyDescent="0.35">
      <c r="A36" s="114" t="s">
        <v>115</v>
      </c>
      <c r="B36" s="114"/>
      <c r="C36" s="114"/>
      <c r="D36" s="80">
        <f>(D29-D34)/D29</f>
        <v>1.8547622555022566E-2</v>
      </c>
      <c r="E36" s="80"/>
      <c r="F36" s="103"/>
      <c r="G36" s="80">
        <f>(G29-G34)/G29</f>
        <v>0.19126875418086839</v>
      </c>
    </row>
    <row r="37" spans="1:15" x14ac:dyDescent="0.35">
      <c r="A37" s="79"/>
      <c r="B37" s="79"/>
      <c r="C37" s="79"/>
      <c r="D37" s="82"/>
    </row>
    <row r="39" spans="1:15" x14ac:dyDescent="0.35">
      <c r="A39" s="117" t="s">
        <v>93</v>
      </c>
      <c r="B39" s="117"/>
      <c r="C39" s="117"/>
      <c r="D39" s="12" t="s">
        <v>99</v>
      </c>
      <c r="E39" s="24"/>
      <c r="F39" s="24"/>
      <c r="G39" s="24"/>
      <c r="H39" s="24"/>
      <c r="I39" s="24"/>
      <c r="J39" s="24"/>
      <c r="K39" s="24"/>
      <c r="L39" s="24"/>
      <c r="M39" s="23"/>
      <c r="N39" s="24"/>
      <c r="O39" s="24"/>
    </row>
    <row r="40" spans="1:15" x14ac:dyDescent="0.35">
      <c r="A40" s="118" t="s">
        <v>49</v>
      </c>
      <c r="B40" s="118" t="s">
        <v>58</v>
      </c>
      <c r="C40" s="12" t="s">
        <v>59</v>
      </c>
      <c r="D40" s="12" t="s">
        <v>50</v>
      </c>
      <c r="E40" s="24"/>
      <c r="F40" s="24"/>
      <c r="G40" s="24"/>
      <c r="H40" s="24"/>
      <c r="I40" s="24"/>
      <c r="J40" s="24"/>
      <c r="K40" s="24"/>
      <c r="L40" s="24"/>
      <c r="M40" s="8"/>
      <c r="N40" s="24"/>
      <c r="O40" s="24"/>
    </row>
    <row r="41" spans="1:15" x14ac:dyDescent="0.35">
      <c r="A41" s="118"/>
      <c r="B41" s="118"/>
      <c r="C41" s="12" t="s">
        <v>60</v>
      </c>
      <c r="D41" s="12" t="s">
        <v>51</v>
      </c>
      <c r="E41" s="24"/>
      <c r="F41" s="24"/>
      <c r="G41" s="24"/>
      <c r="H41" s="24"/>
      <c r="I41" s="24"/>
      <c r="J41" s="24"/>
      <c r="K41" s="24"/>
      <c r="L41" s="24"/>
      <c r="M41" s="8"/>
      <c r="N41" s="24"/>
      <c r="O41" s="24"/>
    </row>
    <row r="42" spans="1:15" ht="29" x14ac:dyDescent="0.35">
      <c r="A42" s="18">
        <v>1</v>
      </c>
      <c r="B42" s="19" t="s">
        <v>119</v>
      </c>
      <c r="C42" s="107">
        <v>9976300</v>
      </c>
      <c r="D42" s="20">
        <v>627.86</v>
      </c>
      <c r="E42" s="25"/>
      <c r="F42" s="27"/>
      <c r="G42" s="27"/>
      <c r="H42" s="27"/>
      <c r="I42" s="27"/>
      <c r="J42" s="27"/>
      <c r="K42" s="27"/>
      <c r="L42" s="27"/>
      <c r="M42" s="8"/>
      <c r="N42" s="25"/>
      <c r="O42" s="26"/>
    </row>
    <row r="43" spans="1:15" ht="29" x14ac:dyDescent="0.35">
      <c r="A43" s="18">
        <v>2</v>
      </c>
      <c r="B43" s="19" t="s">
        <v>117</v>
      </c>
      <c r="C43" s="108"/>
      <c r="D43" s="21">
        <v>625.71</v>
      </c>
      <c r="E43" s="27"/>
      <c r="F43" s="27"/>
      <c r="G43" s="27"/>
      <c r="H43" s="27"/>
      <c r="I43" s="27"/>
      <c r="J43" s="27"/>
      <c r="K43" s="27"/>
      <c r="L43" s="27"/>
      <c r="M43" s="8"/>
      <c r="N43" s="27"/>
      <c r="O43" s="26"/>
    </row>
    <row r="44" spans="1:15" ht="29" x14ac:dyDescent="0.35">
      <c r="A44" s="18">
        <v>3</v>
      </c>
      <c r="B44" s="19" t="s">
        <v>120</v>
      </c>
      <c r="C44" s="108"/>
      <c r="D44" s="21">
        <v>747.45</v>
      </c>
      <c r="E44" s="25"/>
      <c r="F44" s="25"/>
      <c r="G44" s="27"/>
      <c r="H44" s="27"/>
      <c r="I44" s="27"/>
      <c r="J44" s="27"/>
      <c r="K44" s="27"/>
      <c r="L44" s="27"/>
      <c r="M44" s="8"/>
      <c r="N44" s="25"/>
      <c r="O44" s="26"/>
    </row>
    <row r="45" spans="1:15" x14ac:dyDescent="0.35">
      <c r="A45" s="18">
        <v>4</v>
      </c>
      <c r="B45" s="19"/>
      <c r="C45" s="109"/>
      <c r="D45" s="21"/>
      <c r="E45" s="25"/>
      <c r="F45" s="25"/>
      <c r="G45" s="25"/>
      <c r="H45" s="25"/>
      <c r="I45" s="25"/>
      <c r="J45" s="25"/>
      <c r="K45" s="25"/>
      <c r="L45" s="25"/>
      <c r="M45" s="8"/>
      <c r="O45" s="26"/>
    </row>
    <row r="46" spans="1:15" x14ac:dyDescent="0.35">
      <c r="A46" s="116" t="s">
        <v>52</v>
      </c>
      <c r="B46" s="116"/>
      <c r="C46" s="116"/>
      <c r="D46" s="15">
        <f>AVERAGE(D42:D45)</f>
        <v>667.00666666666677</v>
      </c>
      <c r="E46" s="16"/>
      <c r="F46" s="16"/>
      <c r="G46" s="16"/>
      <c r="H46" s="16"/>
      <c r="I46" s="16"/>
      <c r="J46" s="16"/>
      <c r="K46" s="16"/>
      <c r="L46" s="16"/>
      <c r="M46" s="8"/>
      <c r="N46" s="33"/>
      <c r="O46" s="33"/>
    </row>
    <row r="47" spans="1:15" x14ac:dyDescent="0.35">
      <c r="A47" s="116" t="s">
        <v>54</v>
      </c>
      <c r="B47" s="116"/>
      <c r="C47" s="116"/>
      <c r="D47" s="21">
        <f>_xlfn.STDEV.S(D42:D45)</f>
        <v>69.67426378034672</v>
      </c>
      <c r="E47" s="27"/>
      <c r="F47" s="27"/>
      <c r="G47" s="27"/>
      <c r="H47" s="27"/>
      <c r="I47" s="27"/>
      <c r="J47" s="27"/>
      <c r="K47" s="27"/>
      <c r="L47" s="27"/>
      <c r="M47" s="8"/>
      <c r="N47" s="33"/>
      <c r="O47" s="33"/>
    </row>
    <row r="48" spans="1:15" x14ac:dyDescent="0.35">
      <c r="A48" s="116" t="s">
        <v>55</v>
      </c>
      <c r="B48" s="116"/>
      <c r="C48" s="116"/>
      <c r="D48" s="21">
        <f>D46+D47</f>
        <v>736.68093044701345</v>
      </c>
      <c r="E48" s="27"/>
      <c r="F48" s="27"/>
      <c r="G48" s="27"/>
      <c r="H48" s="27"/>
      <c r="I48" s="27"/>
      <c r="J48" s="27"/>
      <c r="K48" s="27"/>
      <c r="L48" s="27"/>
      <c r="M48" s="8"/>
      <c r="N48" s="33"/>
      <c r="O48" s="33"/>
    </row>
    <row r="49" spans="1:15" x14ac:dyDescent="0.35">
      <c r="A49" s="116" t="s">
        <v>56</v>
      </c>
      <c r="B49" s="116"/>
      <c r="C49" s="116"/>
      <c r="D49" s="21">
        <f>D46-D47</f>
        <v>597.3324028863201</v>
      </c>
      <c r="E49" s="27"/>
      <c r="F49" s="27"/>
      <c r="G49" s="27"/>
      <c r="H49" s="27"/>
      <c r="I49" s="27"/>
      <c r="J49" s="27"/>
      <c r="K49" s="27"/>
      <c r="L49" s="27"/>
      <c r="M49" s="8"/>
      <c r="N49" s="33"/>
      <c r="O49" s="33"/>
    </row>
    <row r="50" spans="1:15" x14ac:dyDescent="0.35">
      <c r="A50" s="116" t="s">
        <v>57</v>
      </c>
      <c r="B50" s="116"/>
      <c r="C50" s="116"/>
      <c r="D50" s="31">
        <f>D47/D46</f>
        <v>0.10445812202828564</v>
      </c>
      <c r="E50" s="35"/>
      <c r="F50" s="34"/>
      <c r="G50" s="35"/>
      <c r="H50" s="35"/>
      <c r="I50" s="35"/>
      <c r="J50" s="35"/>
      <c r="K50" s="35"/>
      <c r="L50" s="35"/>
      <c r="M50" s="8"/>
      <c r="N50" s="33"/>
      <c r="O50" s="33"/>
    </row>
    <row r="51" spans="1:15" x14ac:dyDescent="0.35">
      <c r="A51" s="119" t="s">
        <v>61</v>
      </c>
      <c r="B51" s="119"/>
      <c r="C51" s="119"/>
      <c r="D51" s="47">
        <v>635.87</v>
      </c>
      <c r="E51" s="35"/>
      <c r="F51" s="34"/>
      <c r="G51" s="35"/>
      <c r="H51" s="35"/>
      <c r="I51" s="35"/>
      <c r="J51" s="35"/>
      <c r="K51" s="35"/>
      <c r="L51" s="35"/>
      <c r="M51" s="8"/>
      <c r="N51" s="33"/>
      <c r="O51" s="33"/>
    </row>
    <row r="52" spans="1:15" x14ac:dyDescent="0.35">
      <c r="A52" s="116" t="s">
        <v>62</v>
      </c>
      <c r="B52" s="116"/>
      <c r="C52" s="116"/>
      <c r="D52" s="22">
        <f>D51</f>
        <v>635.87</v>
      </c>
      <c r="E52" s="36"/>
      <c r="F52" s="37"/>
      <c r="G52" s="36"/>
      <c r="H52" s="36"/>
      <c r="I52" s="36"/>
      <c r="J52" s="36"/>
      <c r="K52" s="36"/>
      <c r="L52" s="36"/>
      <c r="M52" s="8"/>
      <c r="N52" s="29"/>
      <c r="O52" s="29"/>
    </row>
    <row r="53" spans="1:15" x14ac:dyDescent="0.35">
      <c r="A53" s="114" t="s">
        <v>115</v>
      </c>
      <c r="B53" s="114"/>
      <c r="C53" s="114"/>
      <c r="D53" s="80">
        <f>(D46-D51)/D46</f>
        <v>4.6681192591778338E-2</v>
      </c>
    </row>
    <row r="54" spans="1:15" x14ac:dyDescent="0.35">
      <c r="A54" s="79"/>
      <c r="B54" s="79"/>
      <c r="C54" s="79"/>
    </row>
    <row r="56" spans="1:15" ht="29.5" customHeight="1" x14ac:dyDescent="0.35">
      <c r="A56" s="117" t="s">
        <v>94</v>
      </c>
      <c r="B56" s="117"/>
      <c r="C56" s="117"/>
      <c r="D56" s="12" t="s">
        <v>100</v>
      </c>
      <c r="E56" s="110" t="s">
        <v>48</v>
      </c>
      <c r="F56" s="12" t="s">
        <v>100</v>
      </c>
      <c r="G56" s="24"/>
      <c r="H56" s="24"/>
      <c r="I56" s="24"/>
      <c r="J56" s="24"/>
      <c r="K56" s="24"/>
      <c r="L56" s="24"/>
      <c r="M56" s="23"/>
      <c r="N56" s="24"/>
      <c r="O56" s="24"/>
    </row>
    <row r="57" spans="1:15" ht="29" customHeight="1" x14ac:dyDescent="0.35">
      <c r="A57" s="118" t="s">
        <v>49</v>
      </c>
      <c r="B57" s="118" t="s">
        <v>58</v>
      </c>
      <c r="C57" s="12" t="s">
        <v>59</v>
      </c>
      <c r="D57" s="12" t="s">
        <v>50</v>
      </c>
      <c r="E57" s="111"/>
      <c r="F57" s="12" t="s">
        <v>50</v>
      </c>
      <c r="G57" s="24"/>
      <c r="H57" s="24"/>
      <c r="I57" s="24"/>
      <c r="J57" s="24"/>
      <c r="K57" s="24"/>
      <c r="L57" s="24"/>
      <c r="M57" s="8"/>
      <c r="N57" s="24"/>
      <c r="O57" s="24"/>
    </row>
    <row r="58" spans="1:15" x14ac:dyDescent="0.35">
      <c r="A58" s="118"/>
      <c r="B58" s="118"/>
      <c r="C58" s="12" t="s">
        <v>60</v>
      </c>
      <c r="D58" s="12" t="s">
        <v>51</v>
      </c>
      <c r="E58" s="111"/>
      <c r="F58" s="12" t="s">
        <v>51</v>
      </c>
      <c r="G58" s="24"/>
      <c r="H58" s="24"/>
      <c r="I58" s="24"/>
      <c r="J58" s="24"/>
      <c r="K58" s="24"/>
      <c r="L58" s="24"/>
      <c r="M58" s="8"/>
      <c r="N58" s="24"/>
      <c r="O58" s="24"/>
    </row>
    <row r="59" spans="1:15" ht="29" x14ac:dyDescent="0.35">
      <c r="A59" s="18">
        <v>1</v>
      </c>
      <c r="B59" s="19" t="s">
        <v>117</v>
      </c>
      <c r="C59" s="107">
        <v>9976300</v>
      </c>
      <c r="D59" s="20">
        <v>1.5</v>
      </c>
      <c r="E59" s="111"/>
      <c r="F59" s="20">
        <v>1.5</v>
      </c>
      <c r="G59" s="27"/>
      <c r="H59" s="27"/>
      <c r="I59" s="27"/>
      <c r="J59" s="27"/>
      <c r="K59" s="27"/>
      <c r="L59" s="27"/>
      <c r="M59" s="8"/>
      <c r="N59" s="25"/>
      <c r="O59" s="26"/>
    </row>
    <row r="60" spans="1:15" ht="43.5" x14ac:dyDescent="0.35">
      <c r="A60" s="18">
        <v>2</v>
      </c>
      <c r="B60" s="19" t="s">
        <v>145</v>
      </c>
      <c r="C60" s="109"/>
      <c r="D60" s="21">
        <v>80000</v>
      </c>
      <c r="E60" s="111"/>
      <c r="F60" s="21"/>
      <c r="G60" s="27"/>
      <c r="H60" s="27"/>
      <c r="I60" s="27"/>
      <c r="J60" s="27"/>
      <c r="K60" s="27"/>
      <c r="L60" s="27"/>
      <c r="M60" s="8"/>
      <c r="N60" s="27"/>
      <c r="O60" s="26"/>
    </row>
    <row r="61" spans="1:15" x14ac:dyDescent="0.35">
      <c r="A61" s="18">
        <v>3</v>
      </c>
      <c r="B61" s="19"/>
      <c r="C61" s="17"/>
      <c r="D61" s="21"/>
      <c r="E61" s="111"/>
      <c r="F61" s="21"/>
      <c r="G61" s="27"/>
      <c r="H61" s="27"/>
      <c r="I61" s="27"/>
      <c r="J61" s="27"/>
      <c r="K61" s="27"/>
      <c r="L61" s="27"/>
      <c r="M61" s="8"/>
      <c r="N61" s="25"/>
      <c r="O61" s="26"/>
    </row>
    <row r="62" spans="1:15" x14ac:dyDescent="0.35">
      <c r="A62" s="116" t="s">
        <v>52</v>
      </c>
      <c r="B62" s="116"/>
      <c r="C62" s="116"/>
      <c r="D62" s="45">
        <f>AVERAGE(D59:D61)</f>
        <v>40000.75</v>
      </c>
      <c r="E62" s="111"/>
      <c r="F62" s="15">
        <f>AVERAGE(F59:F61)</f>
        <v>1.5</v>
      </c>
      <c r="G62" s="25"/>
      <c r="H62" s="25"/>
      <c r="I62" s="25"/>
      <c r="J62" s="25"/>
      <c r="K62" s="25"/>
      <c r="L62" s="25"/>
      <c r="M62" s="8"/>
      <c r="N62" s="25"/>
      <c r="O62" s="26"/>
    </row>
    <row r="63" spans="1:15" x14ac:dyDescent="0.35">
      <c r="A63" s="116" t="s">
        <v>54</v>
      </c>
      <c r="B63" s="116"/>
      <c r="C63" s="116"/>
      <c r="D63" s="21">
        <f>_xlfn.STDEV.S(D59:D61)</f>
        <v>56567.481834752019</v>
      </c>
      <c r="E63" s="111"/>
      <c r="F63" s="104" t="s">
        <v>144</v>
      </c>
      <c r="G63" s="25"/>
      <c r="H63" s="25"/>
      <c r="I63" s="25"/>
      <c r="J63" s="25"/>
      <c r="K63" s="25"/>
      <c r="L63" s="25"/>
      <c r="M63" s="8"/>
      <c r="O63" s="26"/>
    </row>
    <row r="64" spans="1:15" x14ac:dyDescent="0.35">
      <c r="A64" s="116" t="s">
        <v>55</v>
      </c>
      <c r="B64" s="116"/>
      <c r="C64" s="116"/>
      <c r="D64" s="21">
        <f>D62+D63</f>
        <v>96568.231834752019</v>
      </c>
      <c r="E64" s="111"/>
      <c r="F64" s="105"/>
      <c r="G64" s="16"/>
      <c r="H64" s="16"/>
      <c r="I64" s="16"/>
      <c r="J64" s="16"/>
      <c r="K64" s="16"/>
      <c r="L64" s="16"/>
      <c r="M64" s="8"/>
      <c r="N64" s="33"/>
      <c r="O64" s="33"/>
    </row>
    <row r="65" spans="1:16" ht="14.5" customHeight="1" x14ac:dyDescent="0.35">
      <c r="A65" s="116" t="s">
        <v>56</v>
      </c>
      <c r="B65" s="116"/>
      <c r="C65" s="116"/>
      <c r="D65" s="21">
        <f>D62-D63</f>
        <v>-16566.731834752019</v>
      </c>
      <c r="E65" s="111"/>
      <c r="F65" s="105"/>
      <c r="G65" s="27"/>
      <c r="H65" s="27"/>
      <c r="I65" s="27"/>
      <c r="J65" s="27"/>
      <c r="K65" s="27"/>
      <c r="L65" s="27"/>
      <c r="M65" s="8"/>
      <c r="N65" s="33"/>
      <c r="O65" s="33"/>
    </row>
    <row r="66" spans="1:16" ht="14.5" customHeight="1" x14ac:dyDescent="0.35">
      <c r="A66" s="116" t="s">
        <v>57</v>
      </c>
      <c r="B66" s="116"/>
      <c r="C66" s="116"/>
      <c r="D66" s="30">
        <f>D63/D62</f>
        <v>1.4141605303588562</v>
      </c>
      <c r="E66" s="111"/>
      <c r="F66" s="106"/>
      <c r="G66" s="27"/>
      <c r="H66" s="27"/>
      <c r="I66" s="27"/>
      <c r="J66" s="27"/>
      <c r="K66" s="27"/>
      <c r="L66" s="27"/>
      <c r="M66" s="8"/>
      <c r="N66" s="33"/>
      <c r="O66" s="33"/>
    </row>
    <row r="67" spans="1:16" ht="14.5" customHeight="1" x14ac:dyDescent="0.35">
      <c r="A67" s="119" t="s">
        <v>61</v>
      </c>
      <c r="B67" s="119"/>
      <c r="C67" s="119"/>
      <c r="D67" s="47"/>
      <c r="E67" s="111"/>
      <c r="F67" s="47">
        <v>1.5</v>
      </c>
      <c r="G67" s="27"/>
      <c r="H67" s="27"/>
      <c r="I67" s="27"/>
      <c r="J67" s="27"/>
      <c r="K67" s="27"/>
      <c r="L67" s="27"/>
      <c r="M67" s="8"/>
      <c r="N67" s="33"/>
      <c r="O67" s="33"/>
    </row>
    <row r="68" spans="1:16" ht="14.5" customHeight="1" x14ac:dyDescent="0.35">
      <c r="A68" s="116" t="s">
        <v>62</v>
      </c>
      <c r="B68" s="116"/>
      <c r="C68" s="116"/>
      <c r="D68" s="22"/>
      <c r="E68" s="111"/>
      <c r="F68" s="22">
        <f>F67</f>
        <v>1.5</v>
      </c>
      <c r="G68" s="27"/>
      <c r="H68" s="27"/>
      <c r="I68" s="27"/>
      <c r="J68" s="27"/>
      <c r="K68" s="27"/>
      <c r="L68" s="27"/>
      <c r="M68" s="8"/>
      <c r="N68" s="33"/>
      <c r="O68" s="33"/>
    </row>
    <row r="69" spans="1:16" ht="14.5" customHeight="1" x14ac:dyDescent="0.35">
      <c r="A69" s="114" t="s">
        <v>115</v>
      </c>
      <c r="B69" s="114"/>
      <c r="C69" s="114"/>
      <c r="D69" s="80"/>
      <c r="E69" s="111"/>
      <c r="F69" s="80">
        <f>(F62-F67)/F62</f>
        <v>0</v>
      </c>
      <c r="G69" s="27"/>
      <c r="H69" s="27"/>
      <c r="I69" s="27"/>
      <c r="J69" s="27"/>
      <c r="K69" s="27"/>
      <c r="L69" s="27"/>
      <c r="M69" s="8"/>
      <c r="N69" s="33"/>
      <c r="O69" s="33"/>
    </row>
    <row r="70" spans="1:16" ht="14.5" customHeight="1" x14ac:dyDescent="0.35">
      <c r="A70" s="115" t="s">
        <v>83</v>
      </c>
      <c r="B70" s="115"/>
      <c r="C70" s="115"/>
      <c r="D70" s="115"/>
      <c r="E70" s="115"/>
      <c r="F70" s="115"/>
      <c r="G70" s="115"/>
      <c r="H70" s="27"/>
      <c r="I70" s="27"/>
      <c r="J70" s="27"/>
      <c r="K70" s="27"/>
      <c r="L70" s="27"/>
      <c r="M70" s="8"/>
      <c r="N70" s="33"/>
      <c r="O70" s="33"/>
    </row>
    <row r="71" spans="1:16" ht="14.5" customHeight="1" x14ac:dyDescent="0.35">
      <c r="A71" s="115" t="s">
        <v>84</v>
      </c>
      <c r="B71" s="115"/>
      <c r="C71" s="115"/>
      <c r="D71" s="115"/>
      <c r="E71" s="115"/>
      <c r="F71" s="115"/>
      <c r="G71" s="115"/>
    </row>
    <row r="73" spans="1:16" ht="30.5" customHeight="1" x14ac:dyDescent="0.35">
      <c r="A73" s="117" t="s">
        <v>95</v>
      </c>
      <c r="B73" s="117"/>
      <c r="C73" s="117"/>
      <c r="D73" s="12" t="s">
        <v>101</v>
      </c>
      <c r="E73" s="12" t="s">
        <v>102</v>
      </c>
      <c r="F73" s="12" t="s">
        <v>103</v>
      </c>
      <c r="G73" s="12" t="s">
        <v>104</v>
      </c>
      <c r="H73" s="12" t="s">
        <v>105</v>
      </c>
      <c r="I73" s="12" t="s">
        <v>106</v>
      </c>
      <c r="J73" s="12" t="s">
        <v>107</v>
      </c>
      <c r="K73" s="12" t="s">
        <v>108</v>
      </c>
      <c r="L73" s="12" t="s">
        <v>109</v>
      </c>
      <c r="M73" s="124" t="s">
        <v>48</v>
      </c>
      <c r="N73" s="12" t="s">
        <v>101</v>
      </c>
      <c r="O73" s="12" t="s">
        <v>102</v>
      </c>
      <c r="P73" s="12" t="s">
        <v>103</v>
      </c>
    </row>
    <row r="74" spans="1:16" ht="29" x14ac:dyDescent="0.35">
      <c r="A74" s="118" t="s">
        <v>49</v>
      </c>
      <c r="B74" s="118" t="s">
        <v>58</v>
      </c>
      <c r="C74" s="12" t="s">
        <v>59</v>
      </c>
      <c r="D74" s="12" t="s">
        <v>50</v>
      </c>
      <c r="E74" s="12" t="s">
        <v>50</v>
      </c>
      <c r="F74" s="12" t="s">
        <v>50</v>
      </c>
      <c r="G74" s="12" t="s">
        <v>50</v>
      </c>
      <c r="H74" s="12" t="s">
        <v>50</v>
      </c>
      <c r="I74" s="12" t="s">
        <v>50</v>
      </c>
      <c r="J74" s="12" t="s">
        <v>50</v>
      </c>
      <c r="K74" s="12" t="s">
        <v>50</v>
      </c>
      <c r="L74" s="12" t="s">
        <v>50</v>
      </c>
      <c r="M74" s="125"/>
      <c r="N74" s="12" t="s">
        <v>50</v>
      </c>
      <c r="O74" s="12" t="s">
        <v>50</v>
      </c>
      <c r="P74" s="12" t="s">
        <v>50</v>
      </c>
    </row>
    <row r="75" spans="1:16" x14ac:dyDescent="0.35">
      <c r="A75" s="118"/>
      <c r="B75" s="118"/>
      <c r="C75" s="12" t="s">
        <v>60</v>
      </c>
      <c r="D75" s="12" t="s">
        <v>51</v>
      </c>
      <c r="E75" s="12" t="s">
        <v>51</v>
      </c>
      <c r="F75" s="12" t="s">
        <v>51</v>
      </c>
      <c r="G75" s="12" t="s">
        <v>51</v>
      </c>
      <c r="H75" s="12" t="s">
        <v>51</v>
      </c>
      <c r="I75" s="12" t="s">
        <v>51</v>
      </c>
      <c r="J75" s="12" t="s">
        <v>51</v>
      </c>
      <c r="K75" s="12" t="s">
        <v>51</v>
      </c>
      <c r="L75" s="12" t="s">
        <v>51</v>
      </c>
      <c r="M75" s="125"/>
      <c r="N75" s="12" t="s">
        <v>51</v>
      </c>
      <c r="O75" s="12" t="s">
        <v>51</v>
      </c>
      <c r="P75" s="12" t="s">
        <v>51</v>
      </c>
    </row>
    <row r="76" spans="1:16" ht="43.5" x14ac:dyDescent="0.35">
      <c r="A76" s="18">
        <v>1</v>
      </c>
      <c r="B76" s="19" t="s">
        <v>129</v>
      </c>
      <c r="C76" s="107">
        <v>9976300</v>
      </c>
      <c r="D76" s="20">
        <v>27240</v>
      </c>
      <c r="E76" s="20">
        <v>90.02</v>
      </c>
      <c r="F76" s="20">
        <v>115.28</v>
      </c>
      <c r="G76" s="20"/>
      <c r="H76" s="20"/>
      <c r="I76" s="20"/>
      <c r="J76" s="20"/>
      <c r="K76" s="20"/>
      <c r="L76" s="20"/>
      <c r="M76" s="125"/>
      <c r="N76" s="13">
        <f>D76</f>
        <v>27240</v>
      </c>
      <c r="O76" s="13">
        <f>E76</f>
        <v>90.02</v>
      </c>
      <c r="P76" s="20"/>
    </row>
    <row r="77" spans="1:16" ht="29" x14ac:dyDescent="0.35">
      <c r="A77" s="18">
        <v>2</v>
      </c>
      <c r="B77" s="19" t="s">
        <v>117</v>
      </c>
      <c r="C77" s="108"/>
      <c r="D77" s="20">
        <v>95137.32</v>
      </c>
      <c r="E77" s="21"/>
      <c r="F77" s="21">
        <v>70.849999999999994</v>
      </c>
      <c r="G77" s="20">
        <v>627.86</v>
      </c>
      <c r="H77" s="20"/>
      <c r="I77" s="20"/>
      <c r="J77" s="21"/>
      <c r="K77" s="20"/>
      <c r="L77" s="20"/>
      <c r="M77" s="125"/>
      <c r="N77" s="13"/>
      <c r="O77" s="13"/>
      <c r="P77" s="21">
        <f>F77</f>
        <v>70.849999999999994</v>
      </c>
    </row>
    <row r="78" spans="1:16" ht="29" x14ac:dyDescent="0.35">
      <c r="A78" s="18">
        <v>3</v>
      </c>
      <c r="B78" s="19" t="s">
        <v>120</v>
      </c>
      <c r="C78" s="108"/>
      <c r="D78" s="20">
        <v>33850.65</v>
      </c>
      <c r="E78" s="21"/>
      <c r="F78" s="21"/>
      <c r="G78" s="20"/>
      <c r="H78" s="20"/>
      <c r="I78" s="20"/>
      <c r="J78" s="21"/>
      <c r="K78" s="20"/>
      <c r="L78" s="20"/>
      <c r="M78" s="125"/>
      <c r="N78" s="13">
        <f>D78</f>
        <v>33850.65</v>
      </c>
      <c r="O78" s="13"/>
      <c r="P78" s="21"/>
    </row>
    <row r="79" spans="1:16" ht="29" x14ac:dyDescent="0.35">
      <c r="A79" s="18">
        <v>4</v>
      </c>
      <c r="B79" s="19" t="s">
        <v>123</v>
      </c>
      <c r="C79" s="108"/>
      <c r="D79" s="20">
        <v>30000</v>
      </c>
      <c r="E79" s="21">
        <v>43.38</v>
      </c>
      <c r="F79" s="21">
        <v>71.09</v>
      </c>
      <c r="G79" s="20"/>
      <c r="H79" s="20">
        <v>441.81</v>
      </c>
      <c r="I79" s="20"/>
      <c r="J79" s="21"/>
      <c r="K79" s="20"/>
      <c r="L79" s="20"/>
      <c r="M79" s="125"/>
      <c r="N79" s="13">
        <f>D79</f>
        <v>30000</v>
      </c>
      <c r="O79" s="13">
        <f>E79</f>
        <v>43.38</v>
      </c>
      <c r="P79" s="21">
        <f>F79</f>
        <v>71.09</v>
      </c>
    </row>
    <row r="80" spans="1:16" ht="43.5" x14ac:dyDescent="0.35">
      <c r="A80" s="18">
        <v>5</v>
      </c>
      <c r="B80" s="19" t="s">
        <v>121</v>
      </c>
      <c r="C80" s="108"/>
      <c r="D80" s="20"/>
      <c r="E80" s="21"/>
      <c r="F80" s="21"/>
      <c r="G80" s="20">
        <v>478.32</v>
      </c>
      <c r="H80" s="20"/>
      <c r="I80" s="20"/>
      <c r="J80" s="21"/>
      <c r="K80" s="20"/>
      <c r="L80" s="20"/>
      <c r="M80" s="125"/>
      <c r="N80" s="13"/>
      <c r="O80" s="13"/>
      <c r="P80" s="21"/>
    </row>
    <row r="81" spans="1:16" ht="29" x14ac:dyDescent="0.35">
      <c r="A81" s="18"/>
      <c r="B81" s="19" t="s">
        <v>138</v>
      </c>
      <c r="C81" s="108"/>
      <c r="D81" s="20"/>
      <c r="E81" s="21"/>
      <c r="F81" s="21"/>
      <c r="G81" s="20"/>
      <c r="H81" s="20">
        <v>618.53</v>
      </c>
      <c r="I81" s="20"/>
      <c r="J81" s="21"/>
      <c r="K81" s="20"/>
      <c r="L81" s="20"/>
      <c r="M81" s="125"/>
      <c r="N81" s="13"/>
      <c r="O81" s="13"/>
      <c r="P81" s="21"/>
    </row>
    <row r="82" spans="1:16" ht="43.5" x14ac:dyDescent="0.35">
      <c r="A82" s="18">
        <v>6</v>
      </c>
      <c r="B82" s="19" t="s">
        <v>137</v>
      </c>
      <c r="C82" s="108"/>
      <c r="D82" s="20"/>
      <c r="E82" s="21"/>
      <c r="F82" s="21"/>
      <c r="G82" s="20"/>
      <c r="H82" s="20">
        <v>618.53</v>
      </c>
      <c r="I82" s="20"/>
      <c r="J82" s="21"/>
      <c r="K82" s="20"/>
      <c r="L82" s="20"/>
      <c r="M82" s="125"/>
      <c r="N82" s="13"/>
      <c r="O82" s="13"/>
      <c r="P82" s="21"/>
    </row>
    <row r="83" spans="1:16" ht="43.5" x14ac:dyDescent="0.35">
      <c r="A83" s="18">
        <v>7</v>
      </c>
      <c r="B83" s="19" t="s">
        <v>121</v>
      </c>
      <c r="C83" s="108"/>
      <c r="D83" s="20">
        <v>30077.91</v>
      </c>
      <c r="E83" s="21">
        <v>43.23</v>
      </c>
      <c r="F83" s="21">
        <v>70.849999999999994</v>
      </c>
      <c r="G83" s="20"/>
      <c r="H83" s="20"/>
      <c r="I83" s="20"/>
      <c r="J83" s="21"/>
      <c r="K83" s="20"/>
      <c r="L83" s="20"/>
      <c r="M83" s="125"/>
      <c r="N83" s="13">
        <f>D83</f>
        <v>30077.91</v>
      </c>
      <c r="O83" s="13">
        <f>E83</f>
        <v>43.23</v>
      </c>
      <c r="P83" s="21">
        <f>F83</f>
        <v>70.849999999999994</v>
      </c>
    </row>
    <row r="84" spans="1:16" ht="43.5" x14ac:dyDescent="0.35">
      <c r="A84" s="18">
        <v>8</v>
      </c>
      <c r="B84" s="19" t="s">
        <v>132</v>
      </c>
      <c r="C84" s="108"/>
      <c r="D84" s="20"/>
      <c r="E84" s="21"/>
      <c r="F84" s="21"/>
      <c r="G84" s="20"/>
      <c r="H84" s="20"/>
      <c r="I84" s="20"/>
      <c r="J84" s="21">
        <v>1.63</v>
      </c>
      <c r="K84" s="20">
        <v>1.39</v>
      </c>
      <c r="L84" s="20"/>
      <c r="M84" s="125"/>
      <c r="N84" s="13"/>
      <c r="O84" s="13"/>
      <c r="P84" s="21"/>
    </row>
    <row r="85" spans="1:16" ht="43.5" x14ac:dyDescent="0.35">
      <c r="A85" s="18">
        <v>9</v>
      </c>
      <c r="B85" s="19" t="s">
        <v>133</v>
      </c>
      <c r="C85" s="108"/>
      <c r="D85" s="20"/>
      <c r="E85" s="21"/>
      <c r="F85" s="21"/>
      <c r="G85" s="20"/>
      <c r="H85" s="20"/>
      <c r="I85" s="20"/>
      <c r="J85" s="21">
        <v>1.19</v>
      </c>
      <c r="K85" s="20">
        <v>1.02</v>
      </c>
      <c r="L85" s="20"/>
      <c r="M85" s="125"/>
      <c r="N85" s="13"/>
      <c r="O85" s="13"/>
      <c r="P85" s="21"/>
    </row>
    <row r="86" spans="1:16" ht="43.5" x14ac:dyDescent="0.35">
      <c r="A86" s="18">
        <v>10</v>
      </c>
      <c r="B86" s="19" t="s">
        <v>125</v>
      </c>
      <c r="C86" s="108"/>
      <c r="D86" s="20"/>
      <c r="E86" s="21"/>
      <c r="F86" s="21"/>
      <c r="G86" s="20"/>
      <c r="H86" s="20"/>
      <c r="I86" s="20"/>
      <c r="J86" s="21">
        <v>1.63</v>
      </c>
      <c r="K86" s="20">
        <v>1.39</v>
      </c>
      <c r="L86" s="20"/>
      <c r="M86" s="125"/>
      <c r="N86" s="13"/>
      <c r="O86" s="13"/>
      <c r="P86" s="21"/>
    </row>
    <row r="87" spans="1:16" ht="29" x14ac:dyDescent="0.35">
      <c r="A87" s="18">
        <v>11</v>
      </c>
      <c r="B87" s="19" t="s">
        <v>134</v>
      </c>
      <c r="C87" s="108"/>
      <c r="D87" s="20"/>
      <c r="E87" s="21"/>
      <c r="F87" s="21"/>
      <c r="G87" s="20"/>
      <c r="H87" s="20"/>
      <c r="I87" s="20"/>
      <c r="J87" s="21"/>
      <c r="K87" s="20"/>
      <c r="L87" s="20">
        <v>2.89</v>
      </c>
      <c r="M87" s="125"/>
      <c r="N87" s="13"/>
      <c r="O87" s="13"/>
      <c r="P87" s="21"/>
    </row>
    <row r="88" spans="1:16" ht="29" x14ac:dyDescent="0.35">
      <c r="A88" s="18">
        <v>12</v>
      </c>
      <c r="B88" s="19" t="s">
        <v>135</v>
      </c>
      <c r="C88" s="108"/>
      <c r="D88" s="20"/>
      <c r="E88" s="21"/>
      <c r="F88" s="21"/>
      <c r="G88" s="20"/>
      <c r="H88" s="20"/>
      <c r="I88" s="20"/>
      <c r="J88" s="21"/>
      <c r="K88" s="20"/>
      <c r="L88" s="20">
        <v>2.99</v>
      </c>
      <c r="M88" s="125"/>
      <c r="N88" s="13"/>
      <c r="O88" s="13"/>
      <c r="P88" s="21"/>
    </row>
    <row r="89" spans="1:16" ht="29" x14ac:dyDescent="0.35">
      <c r="A89" s="18"/>
      <c r="B89" s="19" t="s">
        <v>122</v>
      </c>
      <c r="C89" s="108"/>
      <c r="D89" s="20"/>
      <c r="E89" s="21"/>
      <c r="F89" s="21"/>
      <c r="G89" s="20">
        <v>754.36</v>
      </c>
      <c r="H89" s="20"/>
      <c r="I89" s="20"/>
      <c r="J89" s="21"/>
      <c r="K89" s="20"/>
      <c r="L89" s="20"/>
      <c r="M89" s="125"/>
      <c r="N89" s="13"/>
      <c r="O89" s="13"/>
      <c r="P89" s="21"/>
    </row>
    <row r="90" spans="1:16" ht="29" x14ac:dyDescent="0.35">
      <c r="A90" s="18">
        <v>15</v>
      </c>
      <c r="B90" s="19" t="s">
        <v>136</v>
      </c>
      <c r="C90" s="109"/>
      <c r="D90" s="21"/>
      <c r="E90" s="20"/>
      <c r="F90" s="20"/>
      <c r="G90" s="20"/>
      <c r="H90" s="20"/>
      <c r="I90" s="20"/>
      <c r="J90" s="20"/>
      <c r="K90" s="20"/>
      <c r="L90" s="20">
        <v>2.89</v>
      </c>
      <c r="M90" s="125"/>
      <c r="N90" s="20"/>
      <c r="O90" s="13"/>
      <c r="P90" s="13"/>
    </row>
    <row r="91" spans="1:16" x14ac:dyDescent="0.35">
      <c r="A91" s="116" t="s">
        <v>52</v>
      </c>
      <c r="B91" s="116"/>
      <c r="C91" s="116"/>
      <c r="D91" s="45">
        <f t="shared" ref="D91:L91" si="0">AVERAGE(D76:D90)</f>
        <v>43261.175999999999</v>
      </c>
      <c r="E91" s="45">
        <f t="shared" si="0"/>
        <v>58.876666666666665</v>
      </c>
      <c r="F91" s="45">
        <f t="shared" si="0"/>
        <v>82.017500000000013</v>
      </c>
      <c r="G91" s="15">
        <f t="shared" si="0"/>
        <v>620.17999999999995</v>
      </c>
      <c r="H91" s="15">
        <f t="shared" si="0"/>
        <v>559.62333333333333</v>
      </c>
      <c r="I91" s="15" t="e">
        <f t="shared" si="0"/>
        <v>#DIV/0!</v>
      </c>
      <c r="J91" s="15">
        <f t="shared" si="0"/>
        <v>1.4833333333333332</v>
      </c>
      <c r="K91" s="77">
        <f t="shared" si="0"/>
        <v>1.2666666666666666</v>
      </c>
      <c r="L91" s="77">
        <f t="shared" si="0"/>
        <v>2.9233333333333338</v>
      </c>
      <c r="M91" s="125"/>
      <c r="N91" s="32">
        <f>AVERAGE(N76:N90)</f>
        <v>30292.14</v>
      </c>
      <c r="O91" s="32">
        <f>MEDIAN(O76:O90)</f>
        <v>43.38</v>
      </c>
      <c r="P91" s="32">
        <f>MEDIAN(P76:P90)</f>
        <v>70.849999999999994</v>
      </c>
    </row>
    <row r="92" spans="1:16" x14ac:dyDescent="0.35">
      <c r="A92" s="116" t="s">
        <v>54</v>
      </c>
      <c r="B92" s="116"/>
      <c r="C92" s="116"/>
      <c r="D92" s="21">
        <f t="shared" ref="D92:L92" si="1">_xlfn.STDEV.S(D76:D90)</f>
        <v>29094.79200672399</v>
      </c>
      <c r="E92" s="21">
        <f t="shared" si="1"/>
        <v>26.971022103979163</v>
      </c>
      <c r="F92" s="21">
        <f t="shared" si="1"/>
        <v>22.175288611425064</v>
      </c>
      <c r="G92" s="21">
        <f t="shared" si="1"/>
        <v>138.18016210730104</v>
      </c>
      <c r="H92" s="21">
        <f t="shared" si="1"/>
        <v>102.02933957119076</v>
      </c>
      <c r="I92" s="21" t="e">
        <f t="shared" si="1"/>
        <v>#DIV/0!</v>
      </c>
      <c r="J92" s="21">
        <f t="shared" si="1"/>
        <v>0.25403411844343621</v>
      </c>
      <c r="K92" s="21">
        <f t="shared" si="1"/>
        <v>0.21361959960016069</v>
      </c>
      <c r="L92" s="21">
        <f t="shared" si="1"/>
        <v>5.773502691896263E-2</v>
      </c>
      <c r="M92" s="125"/>
      <c r="N92" s="21">
        <f>_xlfn.STDEV.S(N76:N90)</f>
        <v>2714.7616391499278</v>
      </c>
      <c r="O92" s="104" t="s">
        <v>53</v>
      </c>
      <c r="P92" s="104" t="s">
        <v>53</v>
      </c>
    </row>
    <row r="93" spans="1:16" x14ac:dyDescent="0.35">
      <c r="A93" s="116" t="s">
        <v>55</v>
      </c>
      <c r="B93" s="116"/>
      <c r="C93" s="116"/>
      <c r="D93" s="43">
        <f>D91+D92</f>
        <v>72355.968006723997</v>
      </c>
      <c r="E93" s="39">
        <f t="shared" ref="E93:L93" si="2">E91+E92</f>
        <v>85.847688770645831</v>
      </c>
      <c r="F93" s="43">
        <f t="shared" si="2"/>
        <v>104.19278861142507</v>
      </c>
      <c r="G93" s="39">
        <f t="shared" si="2"/>
        <v>758.36016210730099</v>
      </c>
      <c r="H93" s="39">
        <f t="shared" si="2"/>
        <v>661.65267290452414</v>
      </c>
      <c r="I93" s="38" t="e">
        <f t="shared" si="2"/>
        <v>#DIV/0!</v>
      </c>
      <c r="J93" s="38">
        <f t="shared" si="2"/>
        <v>1.7373674517767694</v>
      </c>
      <c r="K93" s="38">
        <f t="shared" si="2"/>
        <v>1.4802862662668272</v>
      </c>
      <c r="L93" s="38">
        <f t="shared" si="2"/>
        <v>2.9810683602522965</v>
      </c>
      <c r="M93" s="125"/>
      <c r="N93" s="43">
        <f>N91+N92</f>
        <v>33006.901639149924</v>
      </c>
      <c r="O93" s="105"/>
      <c r="P93" s="105"/>
    </row>
    <row r="94" spans="1:16" x14ac:dyDescent="0.35">
      <c r="A94" s="116" t="s">
        <v>56</v>
      </c>
      <c r="B94" s="116"/>
      <c r="C94" s="116"/>
      <c r="D94" s="43">
        <f>D91-D92</f>
        <v>14166.383993276009</v>
      </c>
      <c r="E94" s="39">
        <f t="shared" ref="E94:L94" si="3">E91-E92</f>
        <v>31.905644562687502</v>
      </c>
      <c r="F94" s="43">
        <f t="shared" si="3"/>
        <v>59.842211388574952</v>
      </c>
      <c r="G94" s="39">
        <f t="shared" si="3"/>
        <v>481.99983789269891</v>
      </c>
      <c r="H94" s="39">
        <f t="shared" si="3"/>
        <v>457.59399376214259</v>
      </c>
      <c r="I94" s="38" t="e">
        <f t="shared" si="3"/>
        <v>#DIV/0!</v>
      </c>
      <c r="J94" s="38">
        <f t="shared" si="3"/>
        <v>1.2292992148898969</v>
      </c>
      <c r="K94" s="38">
        <f t="shared" si="3"/>
        <v>1.053047067066506</v>
      </c>
      <c r="L94" s="38">
        <f t="shared" si="3"/>
        <v>2.8655983064143711</v>
      </c>
      <c r="M94" s="125"/>
      <c r="N94" s="43">
        <f>N91-N92</f>
        <v>27577.378360850071</v>
      </c>
      <c r="O94" s="105"/>
      <c r="P94" s="105"/>
    </row>
    <row r="95" spans="1:16" x14ac:dyDescent="0.35">
      <c r="A95" s="116" t="s">
        <v>57</v>
      </c>
      <c r="B95" s="116"/>
      <c r="C95" s="116"/>
      <c r="D95" s="44">
        <f t="shared" ref="D95:N95" si="4">D92/D91</f>
        <v>0.67253816694035295</v>
      </c>
      <c r="E95" s="44">
        <f t="shared" si="4"/>
        <v>0.45809356458097428</v>
      </c>
      <c r="F95" s="44">
        <f t="shared" si="4"/>
        <v>0.27037264744018119</v>
      </c>
      <c r="G95" s="31">
        <f t="shared" si="4"/>
        <v>0.2228065434346497</v>
      </c>
      <c r="H95" s="31">
        <f t="shared" si="4"/>
        <v>0.18231787971288563</v>
      </c>
      <c r="I95" s="30" t="e">
        <f t="shared" si="4"/>
        <v>#DIV/0!</v>
      </c>
      <c r="J95" s="30">
        <f t="shared" si="4"/>
        <v>0.17125895625400195</v>
      </c>
      <c r="K95" s="30">
        <f t="shared" si="4"/>
        <v>0.16864705231591634</v>
      </c>
      <c r="L95" s="30">
        <f t="shared" si="4"/>
        <v>1.9749724145597249E-2</v>
      </c>
      <c r="M95" s="125"/>
      <c r="N95" s="31">
        <f t="shared" si="4"/>
        <v>8.9619341490892609E-2</v>
      </c>
      <c r="O95" s="106"/>
      <c r="P95" s="106"/>
    </row>
    <row r="96" spans="1:16" ht="14.5" customHeight="1" x14ac:dyDescent="0.35">
      <c r="A96" s="119" t="s">
        <v>61</v>
      </c>
      <c r="B96" s="119"/>
      <c r="C96" s="119"/>
      <c r="D96" s="46"/>
      <c r="E96" s="46"/>
      <c r="F96" s="46"/>
      <c r="G96" s="46">
        <v>627.86</v>
      </c>
      <c r="H96" s="46">
        <v>456.55</v>
      </c>
      <c r="I96" s="46">
        <v>1667</v>
      </c>
      <c r="J96" s="46">
        <v>1.1619999999999999</v>
      </c>
      <c r="K96" s="75">
        <v>0.996</v>
      </c>
      <c r="L96" s="75">
        <v>2.286</v>
      </c>
      <c r="M96" s="125"/>
      <c r="N96" s="46">
        <v>30077.91</v>
      </c>
      <c r="O96" s="46">
        <v>43.23</v>
      </c>
      <c r="P96" s="46">
        <v>70.849999999999994</v>
      </c>
    </row>
    <row r="97" spans="1:16" ht="14.5" customHeight="1" x14ac:dyDescent="0.35">
      <c r="A97" s="116" t="s">
        <v>62</v>
      </c>
      <c r="B97" s="116"/>
      <c r="C97" s="116"/>
      <c r="D97" s="45"/>
      <c r="E97" s="45"/>
      <c r="F97" s="45"/>
      <c r="G97" s="22">
        <f t="shared" ref="G97:L97" si="5">G96</f>
        <v>627.86</v>
      </c>
      <c r="H97" s="22">
        <f t="shared" si="5"/>
        <v>456.55</v>
      </c>
      <c r="I97" s="54">
        <f t="shared" si="5"/>
        <v>1667</v>
      </c>
      <c r="J97" s="22">
        <f t="shared" si="5"/>
        <v>1.1619999999999999</v>
      </c>
      <c r="K97" s="76">
        <f t="shared" si="5"/>
        <v>0.996</v>
      </c>
      <c r="L97" s="76">
        <f t="shared" si="5"/>
        <v>2.286</v>
      </c>
      <c r="M97" s="125"/>
      <c r="N97" s="22">
        <f>N96</f>
        <v>30077.91</v>
      </c>
      <c r="O97" s="14">
        <f>MEDIAN(O76:O90)</f>
        <v>43.38</v>
      </c>
      <c r="P97" s="14">
        <f>MEDIAN(P76:P90)</f>
        <v>70.849999999999994</v>
      </c>
    </row>
    <row r="98" spans="1:16" x14ac:dyDescent="0.35">
      <c r="A98" s="114" t="s">
        <v>115</v>
      </c>
      <c r="B98" s="114"/>
      <c r="C98" s="114"/>
      <c r="D98" s="78"/>
      <c r="E98" s="78"/>
      <c r="F98" s="78"/>
      <c r="G98" s="78">
        <f t="shared" ref="G98" si="6">(G91-G96)/G91</f>
        <v>-1.2383501564062149E-2</v>
      </c>
      <c r="H98" s="78">
        <f t="shared" ref="H98:P98" si="7">(H91-H96)/H91</f>
        <v>0.18418340907872555</v>
      </c>
      <c r="I98" s="78"/>
      <c r="J98" s="78">
        <f t="shared" si="7"/>
        <v>0.21662921348314604</v>
      </c>
      <c r="K98" s="78">
        <f t="shared" si="7"/>
        <v>0.21368421052631575</v>
      </c>
      <c r="L98" s="78">
        <f t="shared" si="7"/>
        <v>0.21801596351197275</v>
      </c>
      <c r="N98" s="81">
        <f t="shared" si="7"/>
        <v>7.0721315826481577E-3</v>
      </c>
      <c r="O98" s="81">
        <f t="shared" si="7"/>
        <v>3.457814661134294E-3</v>
      </c>
      <c r="P98" s="81">
        <f t="shared" si="7"/>
        <v>0</v>
      </c>
    </row>
    <row r="99" spans="1:16" x14ac:dyDescent="0.35">
      <c r="B99" s="79"/>
      <c r="C99" s="79"/>
    </row>
    <row r="101" spans="1:16" x14ac:dyDescent="0.35">
      <c r="A101" s="117" t="s">
        <v>96</v>
      </c>
      <c r="B101" s="117"/>
      <c r="C101" s="117"/>
      <c r="D101" s="12" t="s">
        <v>110</v>
      </c>
      <c r="E101" s="12" t="s">
        <v>111</v>
      </c>
      <c r="F101" s="12" t="s">
        <v>112</v>
      </c>
      <c r="G101" s="12" t="s">
        <v>113</v>
      </c>
      <c r="H101" s="12" t="s">
        <v>114</v>
      </c>
    </row>
    <row r="102" spans="1:16" ht="29" x14ac:dyDescent="0.35">
      <c r="A102" s="118" t="s">
        <v>49</v>
      </c>
      <c r="B102" s="118" t="s">
        <v>58</v>
      </c>
      <c r="C102" s="12" t="s">
        <v>59</v>
      </c>
      <c r="D102" s="12" t="s">
        <v>50</v>
      </c>
      <c r="E102" s="12" t="s">
        <v>50</v>
      </c>
      <c r="F102" s="12" t="s">
        <v>50</v>
      </c>
      <c r="G102" s="12" t="s">
        <v>50</v>
      </c>
      <c r="H102" s="12" t="s">
        <v>50</v>
      </c>
    </row>
    <row r="103" spans="1:16" x14ac:dyDescent="0.35">
      <c r="A103" s="118"/>
      <c r="B103" s="118"/>
      <c r="C103" s="12" t="s">
        <v>60</v>
      </c>
      <c r="D103" s="12" t="s">
        <v>51</v>
      </c>
      <c r="E103" s="12" t="s">
        <v>51</v>
      </c>
      <c r="F103" s="12" t="s">
        <v>51</v>
      </c>
      <c r="G103" s="12" t="s">
        <v>51</v>
      </c>
      <c r="H103" s="12" t="s">
        <v>51</v>
      </c>
    </row>
    <row r="104" spans="1:16" ht="43.5" x14ac:dyDescent="0.35">
      <c r="A104" s="18">
        <v>1</v>
      </c>
      <c r="B104" s="19" t="s">
        <v>139</v>
      </c>
      <c r="C104" s="107">
        <v>9976300</v>
      </c>
      <c r="D104" s="21">
        <v>9950</v>
      </c>
      <c r="E104" s="21">
        <v>21000</v>
      </c>
      <c r="F104" s="20"/>
      <c r="G104" s="20"/>
      <c r="H104" s="20"/>
    </row>
    <row r="105" spans="1:16" ht="29" x14ac:dyDescent="0.35">
      <c r="A105" s="18">
        <v>2</v>
      </c>
      <c r="B105" s="19" t="s">
        <v>120</v>
      </c>
      <c r="C105" s="108"/>
      <c r="D105" s="21"/>
      <c r="E105" s="21"/>
      <c r="F105" s="20">
        <v>71.459999999999994</v>
      </c>
      <c r="G105" s="20">
        <v>39.46</v>
      </c>
      <c r="H105" s="20">
        <v>1337.64</v>
      </c>
    </row>
    <row r="106" spans="1:16" ht="29" x14ac:dyDescent="0.35">
      <c r="A106" s="18">
        <v>3</v>
      </c>
      <c r="B106" s="19" t="s">
        <v>117</v>
      </c>
      <c r="C106" s="108"/>
      <c r="D106" s="21">
        <v>9950</v>
      </c>
      <c r="E106" s="21">
        <v>21000</v>
      </c>
      <c r="F106" s="20"/>
      <c r="G106" s="20">
        <v>34.86</v>
      </c>
      <c r="H106" s="20">
        <v>1181.3</v>
      </c>
    </row>
    <row r="107" spans="1:16" ht="43.5" x14ac:dyDescent="0.35">
      <c r="A107" s="18">
        <v>4</v>
      </c>
      <c r="B107" s="19" t="s">
        <v>129</v>
      </c>
      <c r="C107" s="108"/>
      <c r="D107" s="21"/>
      <c r="E107" s="21"/>
      <c r="F107" s="20">
        <v>72.55</v>
      </c>
      <c r="G107" s="20"/>
      <c r="H107" s="20"/>
    </row>
    <row r="108" spans="1:16" ht="43.5" x14ac:dyDescent="0.35">
      <c r="A108" s="18">
        <v>5</v>
      </c>
      <c r="B108" s="19" t="s">
        <v>121</v>
      </c>
      <c r="C108" s="108"/>
      <c r="D108" s="21"/>
      <c r="E108" s="21"/>
      <c r="F108" s="20">
        <v>70.75</v>
      </c>
      <c r="G108" s="20">
        <v>39.07</v>
      </c>
      <c r="H108" s="20">
        <v>1324.1</v>
      </c>
    </row>
    <row r="109" spans="1:16" ht="29" x14ac:dyDescent="0.35">
      <c r="A109" s="18">
        <v>6</v>
      </c>
      <c r="B109" s="19" t="s">
        <v>124</v>
      </c>
      <c r="C109" s="108"/>
      <c r="D109" s="21"/>
      <c r="E109" s="21"/>
      <c r="F109" s="20"/>
      <c r="G109" s="20"/>
      <c r="H109" s="20">
        <v>1181.3</v>
      </c>
    </row>
    <row r="110" spans="1:16" ht="43.5" x14ac:dyDescent="0.35">
      <c r="A110" s="18">
        <v>7</v>
      </c>
      <c r="B110" s="19" t="s">
        <v>140</v>
      </c>
      <c r="C110" s="108"/>
      <c r="D110" s="21">
        <v>10982.75</v>
      </c>
      <c r="E110" s="21"/>
      <c r="F110" s="20"/>
      <c r="G110" s="20"/>
      <c r="H110" s="20"/>
    </row>
    <row r="111" spans="1:16" ht="43.5" x14ac:dyDescent="0.35">
      <c r="A111" s="18">
        <v>8</v>
      </c>
      <c r="B111" s="19" t="s">
        <v>141</v>
      </c>
      <c r="C111" s="108"/>
      <c r="D111" s="21">
        <v>9950</v>
      </c>
      <c r="E111" s="20">
        <v>21000</v>
      </c>
      <c r="F111" s="20"/>
      <c r="G111" s="20"/>
      <c r="H111" s="20"/>
    </row>
    <row r="112" spans="1:16" ht="43.5" x14ac:dyDescent="0.35">
      <c r="A112" s="18">
        <v>9</v>
      </c>
      <c r="B112" s="19" t="s">
        <v>143</v>
      </c>
      <c r="C112" s="108"/>
      <c r="D112" s="21">
        <v>9950</v>
      </c>
      <c r="E112" s="20">
        <v>21000</v>
      </c>
      <c r="F112" s="20"/>
      <c r="G112" s="20"/>
      <c r="H112" s="20"/>
    </row>
    <row r="113" spans="1:8" ht="43.5" x14ac:dyDescent="0.35">
      <c r="A113" s="18">
        <v>10</v>
      </c>
      <c r="B113" s="19" t="s">
        <v>142</v>
      </c>
      <c r="C113" s="109"/>
      <c r="D113" s="21">
        <v>9950</v>
      </c>
      <c r="E113" s="20">
        <v>21000</v>
      </c>
      <c r="F113" s="20"/>
      <c r="G113" s="20"/>
      <c r="H113" s="20"/>
    </row>
    <row r="114" spans="1:8" x14ac:dyDescent="0.35">
      <c r="A114" s="116" t="s">
        <v>52</v>
      </c>
      <c r="B114" s="116"/>
      <c r="C114" s="116"/>
      <c r="D114" s="15">
        <f>AVERAGE(D104:D113)</f>
        <v>10122.125</v>
      </c>
      <c r="E114" s="15">
        <f t="shared" ref="E114" si="8">AVERAGE(E104:E113)</f>
        <v>21000</v>
      </c>
      <c r="F114" s="15">
        <f t="shared" ref="F114" si="9">AVERAGE(F104:F113)</f>
        <v>71.586666666666659</v>
      </c>
      <c r="G114" s="15">
        <f t="shared" ref="G114" si="10">AVERAGE(G104:G113)</f>
        <v>37.79666666666666</v>
      </c>
      <c r="H114" s="15">
        <f t="shared" ref="H114" si="11">AVERAGE(H104:H113)</f>
        <v>1256.085</v>
      </c>
    </row>
    <row r="115" spans="1:8" x14ac:dyDescent="0.35">
      <c r="A115" s="116" t="s">
        <v>54</v>
      </c>
      <c r="B115" s="116"/>
      <c r="C115" s="116"/>
      <c r="D115" s="21">
        <f t="shared" ref="D115:H115" si="12">_xlfn.STDEV.S(D104:D113)</f>
        <v>421.61842197655454</v>
      </c>
      <c r="E115" s="21">
        <f t="shared" si="12"/>
        <v>0</v>
      </c>
      <c r="F115" s="21">
        <f t="shared" si="12"/>
        <v>0.90666053919497969</v>
      </c>
      <c r="G115" s="21">
        <f t="shared" si="12"/>
        <v>2.5506927163681117</v>
      </c>
      <c r="H115" s="21">
        <f t="shared" si="12"/>
        <v>86.531016982351517</v>
      </c>
    </row>
    <row r="116" spans="1:8" x14ac:dyDescent="0.35">
      <c r="A116" s="116" t="s">
        <v>55</v>
      </c>
      <c r="B116" s="116"/>
      <c r="C116" s="116"/>
      <c r="D116" s="39">
        <f t="shared" ref="D116" si="13">D114+D115</f>
        <v>10543.743421976555</v>
      </c>
      <c r="E116" s="39">
        <f t="shared" ref="E116" si="14">E114+E115</f>
        <v>21000</v>
      </c>
      <c r="F116" s="43">
        <f t="shared" ref="F116" si="15">F114+F115</f>
        <v>72.493327205861632</v>
      </c>
      <c r="G116" s="39">
        <f t="shared" ref="G116" si="16">G114+G115</f>
        <v>40.347359383034771</v>
      </c>
      <c r="H116" s="39">
        <f t="shared" ref="H116" si="17">H114+H115</f>
        <v>1342.6160169823515</v>
      </c>
    </row>
    <row r="117" spans="1:8" x14ac:dyDescent="0.35">
      <c r="A117" s="116" t="s">
        <v>56</v>
      </c>
      <c r="B117" s="116"/>
      <c r="C117" s="116"/>
      <c r="D117" s="39">
        <f t="shared" ref="D117:H117" si="18">D114-D115</f>
        <v>9700.5065780234454</v>
      </c>
      <c r="E117" s="39">
        <f t="shared" si="18"/>
        <v>21000</v>
      </c>
      <c r="F117" s="43">
        <f t="shared" si="18"/>
        <v>70.680006127471685</v>
      </c>
      <c r="G117" s="39">
        <f t="shared" si="18"/>
        <v>35.245973950298549</v>
      </c>
      <c r="H117" s="39">
        <f t="shared" si="18"/>
        <v>1169.5539830176485</v>
      </c>
    </row>
    <row r="118" spans="1:8" x14ac:dyDescent="0.35">
      <c r="A118" s="116" t="s">
        <v>57</v>
      </c>
      <c r="B118" s="116"/>
      <c r="C118" s="116"/>
      <c r="D118" s="31">
        <f t="shared" ref="D118:H118" si="19">D115/D114</f>
        <v>4.1653153065838895E-2</v>
      </c>
      <c r="E118" s="31">
        <f t="shared" si="19"/>
        <v>0</v>
      </c>
      <c r="F118" s="31">
        <f t="shared" si="19"/>
        <v>1.266521520574101E-2</v>
      </c>
      <c r="G118" s="31">
        <f t="shared" si="19"/>
        <v>6.7484594312587853E-2</v>
      </c>
      <c r="H118" s="31">
        <f t="shared" si="19"/>
        <v>6.8889459696080693E-2</v>
      </c>
    </row>
    <row r="119" spans="1:8" x14ac:dyDescent="0.35">
      <c r="A119" s="119" t="s">
        <v>61</v>
      </c>
      <c r="B119" s="119"/>
      <c r="C119" s="119"/>
      <c r="D119" s="46">
        <v>9950</v>
      </c>
      <c r="E119" s="46">
        <v>21000</v>
      </c>
      <c r="F119" s="46">
        <v>63.12</v>
      </c>
      <c r="G119" s="46">
        <v>34.86</v>
      </c>
      <c r="H119" s="46">
        <v>1181.3</v>
      </c>
    </row>
    <row r="120" spans="1:8" x14ac:dyDescent="0.35">
      <c r="A120" s="116" t="s">
        <v>62</v>
      </c>
      <c r="B120" s="116"/>
      <c r="C120" s="116"/>
      <c r="D120" s="22">
        <f>D119</f>
        <v>9950</v>
      </c>
      <c r="E120" s="22">
        <f>E119</f>
        <v>21000</v>
      </c>
      <c r="F120" s="22">
        <f>F119</f>
        <v>63.12</v>
      </c>
      <c r="G120" s="22">
        <f>G119</f>
        <v>34.86</v>
      </c>
      <c r="H120" s="22">
        <f>H119</f>
        <v>1181.3</v>
      </c>
    </row>
    <row r="121" spans="1:8" x14ac:dyDescent="0.35">
      <c r="A121" s="112" t="s">
        <v>115</v>
      </c>
      <c r="B121" s="112"/>
      <c r="C121" s="113"/>
      <c r="D121" s="78">
        <f>(D114-D119)/D114</f>
        <v>1.7004828531558342E-2</v>
      </c>
      <c r="E121" s="81">
        <f t="shared" ref="E121:H121" si="20">(E114-E119)/E114</f>
        <v>0</v>
      </c>
      <c r="F121" s="78">
        <f t="shared" si="20"/>
        <v>0.11827155894952499</v>
      </c>
      <c r="G121" s="81">
        <f t="shared" si="20"/>
        <v>7.7696445894699553E-2</v>
      </c>
      <c r="H121" s="81">
        <f t="shared" si="20"/>
        <v>5.9538168197216017E-2</v>
      </c>
    </row>
    <row r="123" spans="1:8" x14ac:dyDescent="0.35">
      <c r="C123" s="50"/>
      <c r="D123" s="50"/>
      <c r="E123" s="50"/>
      <c r="F123" s="50"/>
      <c r="G123" s="50"/>
    </row>
    <row r="124" spans="1:8" x14ac:dyDescent="0.35">
      <c r="C124" s="51"/>
      <c r="D124" s="50"/>
      <c r="E124" s="50"/>
      <c r="F124" s="50"/>
      <c r="G124" s="50"/>
    </row>
    <row r="125" spans="1:8" x14ac:dyDescent="0.35">
      <c r="C125" s="50"/>
      <c r="D125" s="50"/>
      <c r="E125" s="50"/>
      <c r="F125" s="50"/>
      <c r="G125" s="50"/>
    </row>
  </sheetData>
  <mergeCells count="82">
    <mergeCell ref="O92:O95"/>
    <mergeCell ref="P92:P95"/>
    <mergeCell ref="A92:C92"/>
    <mergeCell ref="A93:C93"/>
    <mergeCell ref="A94:C94"/>
    <mergeCell ref="A95:C95"/>
    <mergeCell ref="M73:M97"/>
    <mergeCell ref="A74:A75"/>
    <mergeCell ref="B74:B75"/>
    <mergeCell ref="A91:C91"/>
    <mergeCell ref="A97:C97"/>
    <mergeCell ref="A96:C96"/>
    <mergeCell ref="B40:B41"/>
    <mergeCell ref="A46:C46"/>
    <mergeCell ref="A65:C65"/>
    <mergeCell ref="A66:C66"/>
    <mergeCell ref="A68:C68"/>
    <mergeCell ref="A67:C67"/>
    <mergeCell ref="A56:C56"/>
    <mergeCell ref="A57:A58"/>
    <mergeCell ref="B57:B58"/>
    <mergeCell ref="A64:C64"/>
    <mergeCell ref="A62:C62"/>
    <mergeCell ref="A63:C63"/>
    <mergeCell ref="M8:M12"/>
    <mergeCell ref="A9:C9"/>
    <mergeCell ref="A10:C10"/>
    <mergeCell ref="A11:C11"/>
    <mergeCell ref="A12:C12"/>
    <mergeCell ref="A119:C119"/>
    <mergeCell ref="A120:C120"/>
    <mergeCell ref="A1:C1"/>
    <mergeCell ref="A2:A3"/>
    <mergeCell ref="B2:B3"/>
    <mergeCell ref="A8:C8"/>
    <mergeCell ref="A14:C14"/>
    <mergeCell ref="A13:C13"/>
    <mergeCell ref="A17:C17"/>
    <mergeCell ref="A18:A19"/>
    <mergeCell ref="B18:B19"/>
    <mergeCell ref="A29:C29"/>
    <mergeCell ref="A35:C35"/>
    <mergeCell ref="A34:C34"/>
    <mergeCell ref="A52:C52"/>
    <mergeCell ref="A51:C51"/>
    <mergeCell ref="A118:C118"/>
    <mergeCell ref="A101:C101"/>
    <mergeCell ref="A102:A103"/>
    <mergeCell ref="B102:B103"/>
    <mergeCell ref="A114:C114"/>
    <mergeCell ref="C4:C7"/>
    <mergeCell ref="C59:C60"/>
    <mergeCell ref="E56:E69"/>
    <mergeCell ref="A121:C121"/>
    <mergeCell ref="A98:C98"/>
    <mergeCell ref="A69:C69"/>
    <mergeCell ref="A53:C53"/>
    <mergeCell ref="A36:C36"/>
    <mergeCell ref="A15:C15"/>
    <mergeCell ref="C104:C113"/>
    <mergeCell ref="A71:G71"/>
    <mergeCell ref="A70:G70"/>
    <mergeCell ref="A115:C115"/>
    <mergeCell ref="A116:C116"/>
    <mergeCell ref="A117:C117"/>
    <mergeCell ref="A73:C73"/>
    <mergeCell ref="F17:F36"/>
    <mergeCell ref="G30:G33"/>
    <mergeCell ref="F63:F66"/>
    <mergeCell ref="C76:C90"/>
    <mergeCell ref="C42:C45"/>
    <mergeCell ref="C20:C28"/>
    <mergeCell ref="A30:C30"/>
    <mergeCell ref="A31:C31"/>
    <mergeCell ref="A32:C32"/>
    <mergeCell ref="A33:C33"/>
    <mergeCell ref="A47:C47"/>
    <mergeCell ref="A48:C48"/>
    <mergeCell ref="A49:C49"/>
    <mergeCell ref="A50:C50"/>
    <mergeCell ref="A39:C39"/>
    <mergeCell ref="A40:A41"/>
  </mergeCells>
  <phoneticPr fontId="13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3A3C779C8986419C0B6E8CC7177AF3" ma:contentTypeVersion="10" ma:contentTypeDescription="Crie um novo documento." ma:contentTypeScope="" ma:versionID="0e1035eee31ce72db6d258b7ae6e11ea">
  <xsd:schema xmlns:xsd="http://www.w3.org/2001/XMLSchema" xmlns:xs="http://www.w3.org/2001/XMLSchema" xmlns:p="http://schemas.microsoft.com/office/2006/metadata/properties" xmlns:ns2="85665260-3326-4c18-b9c2-673d9a93b72c" xmlns:ns3="48319da2-dd13-46e7-9abf-31a5e8faf54d" targetNamespace="http://schemas.microsoft.com/office/2006/metadata/properties" ma:root="true" ma:fieldsID="16d320fa5aeac98c6c372358de4ba8e8" ns2:_="" ns3:_="">
    <xsd:import namespace="85665260-3326-4c18-b9c2-673d9a93b72c"/>
    <xsd:import namespace="48319da2-dd13-46e7-9abf-31a5e8faf5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65260-3326-4c18-b9c2-673d9a93b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319da2-dd13-46e7-9abf-31a5e8faf54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8319da2-dd13-46e7-9abf-31a5e8faf54d">
      <UserInfo>
        <DisplayName>Aderson de Lima Calazans</DisplayName>
        <AccountId>67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F79F29C-6643-40BB-AE7A-39D62447F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65260-3326-4c18-b9c2-673d9a93b72c"/>
    <ds:schemaRef ds:uri="48319da2-dd13-46e7-9abf-31a5e8faf5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A96E97-6CB5-4E4B-BB0C-D2E5B37F77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BDA262-3D60-4678-BE1B-D1412829C2D2}">
  <ds:schemaRefs>
    <ds:schemaRef ds:uri="http://schemas.microsoft.com/office/2006/documentManagement/types"/>
    <ds:schemaRef ds:uri="85665260-3326-4c18-b9c2-673d9a93b72c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48319da2-dd13-46e7-9abf-31a5e8faf54d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Resumo</vt:lpstr>
      <vt:lpstr>Memória de Cálculo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MINFRA</dc:creator>
  <cp:keywords/>
  <dc:description/>
  <cp:lastModifiedBy>Marcelo Florêncio do Nascimento</cp:lastModifiedBy>
  <cp:revision/>
  <dcterms:created xsi:type="dcterms:W3CDTF">2006-09-16T00:00:00Z</dcterms:created>
  <dcterms:modified xsi:type="dcterms:W3CDTF">2024-05-03T21:07:22Z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0x010100F53A3C779C8986419C0B6E8CC7177AF3</vt:lpwstr>
  </property>
</Properties>
</file>