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mberto.coser\Downloads\"/>
    </mc:Choice>
  </mc:AlternateContent>
  <xr:revisionPtr revIDLastSave="0" documentId="13_ncr:1_{539DF84A-E05C-424A-B5C6-C9341BAFC044}" xr6:coauthVersionLast="47" xr6:coauthVersionMax="47" xr10:uidLastSave="{00000000-0000-0000-0000-000000000000}"/>
  <bookViews>
    <workbookView xWindow="-110" yWindow="-110" windowWidth="19420" windowHeight="11020" tabRatio="920" activeTab="4" xr2:uid="{00000000-000D-0000-FFFF-FFFF00000000}"/>
  </bookViews>
  <sheets>
    <sheet name="RESUMO MATRIZ" sheetId="43" r:id="rId1"/>
    <sheet name="VIG 12x36 - DIURNO" sheetId="60" r:id="rId2"/>
    <sheet name="VIG 12x36 - NOTURNO " sheetId="61" r:id="rId3"/>
    <sheet name="Quadro Unif Mat Insumos" sheetId="64" r:id="rId4"/>
    <sheet name="Efeitos Financeiros Repactuação" sheetId="65" r:id="rId5"/>
  </sheets>
  <definedNames>
    <definedName name="__xlnm.Print_Area_10">#REF!</definedName>
    <definedName name="__xlnm.Print_Area_18">#REF!</definedName>
    <definedName name="__xlnm.Print_Area_19">#REF!</definedName>
    <definedName name="_xlnm.Print_Area" localSheetId="3">'Quadro Unif Mat Insumos'!$A$1:$H$44</definedName>
    <definedName name="_xlnm.Print_Area" localSheetId="0">'RESUMO MATRIZ'!$A$1:$H$31</definedName>
    <definedName name="_xlnm.Print_Area" localSheetId="1">'VIG 12x36 - DIURNO'!$B$1:$E$138</definedName>
    <definedName name="_xlnm.Print_Area" localSheetId="2">'VIG 12x36 - NOTURNO '!$B$1:$E$139</definedName>
    <definedName name="ISS">"#REF!"</definedName>
    <definedName name="ISS_10">"#REF!"</definedName>
    <definedName name="ISS_11">"#REF!"</definedName>
    <definedName name="ISS_12">"#REF!"</definedName>
    <definedName name="ISS_13">"#REF!"</definedName>
    <definedName name="ISS_14">"#REF!"</definedName>
    <definedName name="ISS_15">"#REF!"</definedName>
    <definedName name="ISS_16">"#REF!"</definedName>
    <definedName name="ISS_17">"#REF!"</definedName>
    <definedName name="ISS_18">"#REF!"</definedName>
    <definedName name="ISS_2">"#REF!"</definedName>
    <definedName name="ISS_3">"#REF!"</definedName>
    <definedName name="ISS_4">"#REF!"</definedName>
    <definedName name="ISS_5">"#REF!"</definedName>
    <definedName name="ISS_6">"#REF!"</definedName>
    <definedName name="ISS_7">"#REF!"</definedName>
    <definedName name="ISS_8">"#REF!"</definedName>
    <definedName name="ISS_9">"#REF!"</definedName>
    <definedName name="PageMaker">"#REF!"</definedName>
    <definedName name="PageMaker_10">"#REF!"</definedName>
    <definedName name="PageMaker_11">"#REF!"</definedName>
    <definedName name="PageMaker_12">"#REF!"</definedName>
    <definedName name="PageMaker_13">"#REF!"</definedName>
    <definedName name="PageMaker_14">"#REF!"</definedName>
    <definedName name="PageMaker_15">"#REF!"</definedName>
    <definedName name="PageMaker_16">"#REF!"</definedName>
    <definedName name="PageMaker_17">"#REF!"</definedName>
    <definedName name="PageMaker_18">"#REF!"</definedName>
    <definedName name="PageMaker_2">"#REF!"</definedName>
    <definedName name="PageMaker_3">"#REF!"</definedName>
    <definedName name="PageMaker_4">"#REF!"</definedName>
    <definedName name="PageMaker_5">"#REF!"</definedName>
    <definedName name="PageMaker_6">"#REF!"</definedName>
    <definedName name="PageMaker_7">"#REF!"</definedName>
    <definedName name="PageMaker_8">"#REF!"</definedName>
    <definedName name="PageMaker_9">"#REF!"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65" l="1"/>
  <c r="C17" i="65"/>
  <c r="E83" i="60"/>
  <c r="D91" i="60"/>
  <c r="D90" i="60"/>
  <c r="D89" i="60"/>
  <c r="E91" i="60" l="1"/>
  <c r="D54" i="60"/>
  <c r="D55" i="61" s="1"/>
  <c r="D52" i="60"/>
  <c r="D53" i="61" s="1"/>
  <c r="D54" i="61"/>
  <c r="D52" i="61"/>
  <c r="E12" i="61"/>
  <c r="E43" i="43" l="1"/>
  <c r="C28" i="43"/>
  <c r="C23" i="43"/>
  <c r="C17" i="43"/>
  <c r="C12" i="43"/>
  <c r="D40" i="61"/>
  <c r="D46" i="61" s="1"/>
  <c r="D32" i="61" s="1"/>
  <c r="D33" i="61" s="1"/>
  <c r="D39" i="60"/>
  <c r="E52" i="61"/>
  <c r="G36" i="64"/>
  <c r="G37" i="64"/>
  <c r="G38" i="64"/>
  <c r="G39" i="64"/>
  <c r="G40" i="64"/>
  <c r="G41" i="64"/>
  <c r="G42" i="64"/>
  <c r="G35" i="64"/>
  <c r="G28" i="64"/>
  <c r="G27" i="64"/>
  <c r="G26" i="64"/>
  <c r="G8" i="64"/>
  <c r="G9" i="64"/>
  <c r="G10" i="64"/>
  <c r="G11" i="64"/>
  <c r="G12" i="64"/>
  <c r="G13" i="64"/>
  <c r="G14" i="64"/>
  <c r="G15" i="64"/>
  <c r="G16" i="64"/>
  <c r="G17" i="64"/>
  <c r="G18" i="64"/>
  <c r="G7" i="64"/>
  <c r="G29" i="64" l="1"/>
  <c r="G30" i="64" s="1"/>
  <c r="G19" i="64"/>
  <c r="G20" i="64" s="1"/>
  <c r="E112" i="61"/>
  <c r="E111" i="60"/>
  <c r="G43" i="64"/>
  <c r="G44" i="64" s="1"/>
  <c r="E111" i="61" l="1"/>
  <c r="E113" i="61" s="1"/>
  <c r="E110" i="60"/>
  <c r="E112" i="60" s="1"/>
  <c r="E51" i="60"/>
  <c r="B12" i="43"/>
  <c r="E13" i="43"/>
  <c r="D122" i="61" l="1"/>
  <c r="D121" i="61"/>
  <c r="E98" i="61"/>
  <c r="E104" i="61" s="1"/>
  <c r="E55" i="61"/>
  <c r="E54" i="61"/>
  <c r="E53" i="61"/>
  <c r="E19" i="61"/>
  <c r="D119" i="60"/>
  <c r="D123" i="60" s="1"/>
  <c r="E97" i="60"/>
  <c r="E103" i="60" s="1"/>
  <c r="E54" i="60"/>
  <c r="E53" i="60"/>
  <c r="E52" i="60"/>
  <c r="D45" i="60"/>
  <c r="D31" i="60" s="1"/>
  <c r="D32" i="60" s="1"/>
  <c r="E19" i="60"/>
  <c r="E50" i="60" s="1"/>
  <c r="E51" i="61" l="1"/>
  <c r="E56" i="61" s="1"/>
  <c r="E63" i="61" s="1"/>
  <c r="D75" i="60"/>
  <c r="D120" i="61"/>
  <c r="D124" i="61" s="1"/>
  <c r="D76" i="61"/>
  <c r="D88" i="60"/>
  <c r="E20" i="61"/>
  <c r="E22" i="61" s="1"/>
  <c r="E55" i="60"/>
  <c r="E62" i="60" s="1"/>
  <c r="E20" i="60"/>
  <c r="E22" i="60" s="1"/>
  <c r="D89" i="61"/>
  <c r="E21" i="61" l="1"/>
  <c r="E31" i="60"/>
  <c r="E23" i="61"/>
  <c r="E32" i="61" s="1"/>
  <c r="E89" i="60"/>
  <c r="D91" i="61"/>
  <c r="D90" i="61"/>
  <c r="D92" i="61"/>
  <c r="E44" i="60"/>
  <c r="E42" i="60"/>
  <c r="E30" i="60"/>
  <c r="E128" i="60"/>
  <c r="E84" i="60"/>
  <c r="E72" i="60"/>
  <c r="E41" i="60"/>
  <c r="E29" i="60"/>
  <c r="E40" i="60"/>
  <c r="E71" i="60"/>
  <c r="E39" i="60"/>
  <c r="E38" i="60"/>
  <c r="E82" i="60"/>
  <c r="E70" i="60"/>
  <c r="E37" i="60"/>
  <c r="E32" i="60" l="1"/>
  <c r="E74" i="61"/>
  <c r="E41" i="61"/>
  <c r="E31" i="61"/>
  <c r="E91" i="61"/>
  <c r="E44" i="61"/>
  <c r="E38" i="61"/>
  <c r="E83" i="61"/>
  <c r="E40" i="61"/>
  <c r="E30" i="61"/>
  <c r="E33" i="61" s="1"/>
  <c r="E42" i="61"/>
  <c r="E92" i="61"/>
  <c r="E85" i="61"/>
  <c r="E90" i="61"/>
  <c r="E88" i="61"/>
  <c r="E71" i="61"/>
  <c r="E73" i="61"/>
  <c r="E39" i="61"/>
  <c r="E43" i="61"/>
  <c r="E84" i="61"/>
  <c r="E45" i="61"/>
  <c r="E72" i="61"/>
  <c r="E86" i="61"/>
  <c r="E69" i="61"/>
  <c r="E75" i="61"/>
  <c r="E87" i="61"/>
  <c r="E129" i="61"/>
  <c r="E70" i="61"/>
  <c r="D92" i="60"/>
  <c r="E68" i="60"/>
  <c r="E74" i="60"/>
  <c r="E86" i="60"/>
  <c r="E43" i="60"/>
  <c r="E45" i="60" s="1"/>
  <c r="E61" i="60" s="1"/>
  <c r="E73" i="60"/>
  <c r="E85" i="60"/>
  <c r="E90" i="60"/>
  <c r="E69" i="60"/>
  <c r="E87" i="60"/>
  <c r="E60" i="60"/>
  <c r="D93" i="61"/>
  <c r="E61" i="61" l="1"/>
  <c r="E76" i="61"/>
  <c r="E131" i="61" s="1"/>
  <c r="E46" i="61"/>
  <c r="E62" i="61" s="1"/>
  <c r="E89" i="61"/>
  <c r="E93" i="61" s="1"/>
  <c r="E75" i="60"/>
  <c r="E130" i="60" s="1"/>
  <c r="D102" i="60"/>
  <c r="E88" i="60"/>
  <c r="E92" i="60" s="1"/>
  <c r="E102" i="60" s="1"/>
  <c r="E104" i="60" s="1"/>
  <c r="E131" i="60" s="1"/>
  <c r="D103" i="61"/>
  <c r="E63" i="60"/>
  <c r="E129" i="60" s="1"/>
  <c r="H93" i="61" l="1"/>
  <c r="E64" i="61"/>
  <c r="E130" i="61" s="1"/>
  <c r="E103" i="61"/>
  <c r="E105" i="61" s="1"/>
  <c r="E132" i="61" s="1"/>
  <c r="H92" i="61"/>
  <c r="E29" i="43" l="1"/>
  <c r="E24" i="43"/>
  <c r="E18" i="43"/>
  <c r="E7" i="43"/>
  <c r="B28" i="43"/>
  <c r="B23" i="43"/>
  <c r="B17" i="43"/>
  <c r="E35" i="43" l="1"/>
  <c r="E34" i="43"/>
  <c r="E132" i="60" l="1"/>
  <c r="E133" i="60" s="1"/>
  <c r="E133" i="61"/>
  <c r="E134" i="61" s="1"/>
  <c r="E118" i="61" s="1"/>
  <c r="E119" i="61" s="1"/>
  <c r="E117" i="60" l="1"/>
  <c r="E118" i="60" s="1"/>
  <c r="F27" i="43"/>
  <c r="G27" i="43" s="1"/>
  <c r="H27" i="43" s="1"/>
  <c r="H29" i="43" s="1"/>
  <c r="F22" i="43"/>
  <c r="G29" i="43" l="1"/>
  <c r="F11" i="43"/>
  <c r="G11" i="43" s="1"/>
  <c r="F12" i="43"/>
  <c r="G12" i="43" s="1"/>
  <c r="H12" i="43" s="1"/>
  <c r="G22" i="43"/>
  <c r="F23" i="43"/>
  <c r="G23" i="43" s="1"/>
  <c r="H23" i="43" s="1"/>
  <c r="H11" i="43" l="1"/>
  <c r="H13" i="43" s="1"/>
  <c r="G13" i="43"/>
  <c r="G24" i="43"/>
  <c r="H22" i="43"/>
  <c r="H24" i="43" s="1"/>
  <c r="F28" i="43" l="1"/>
  <c r="G28" i="43" s="1"/>
  <c r="H28" i="43" s="1"/>
  <c r="D4" i="65" l="1"/>
  <c r="E4" i="65"/>
  <c r="D5" i="65"/>
  <c r="E5" i="65"/>
  <c r="D6" i="65"/>
  <c r="E6" i="65"/>
  <c r="D7" i="65"/>
  <c r="E7" i="65"/>
  <c r="D8" i="65"/>
  <c r="E8" i="65"/>
  <c r="D9" i="65"/>
  <c r="E9" i="65"/>
  <c r="D10" i="65"/>
  <c r="E10" i="65"/>
  <c r="D11" i="65"/>
  <c r="E11" i="65"/>
  <c r="D12" i="65"/>
  <c r="E12" i="65"/>
  <c r="D13" i="65"/>
  <c r="E13" i="65"/>
  <c r="D14" i="65"/>
  <c r="E14" i="65"/>
  <c r="E15" i="65"/>
  <c r="D16" i="65"/>
  <c r="E16" i="65"/>
  <c r="D17" i="65"/>
  <c r="E17" i="65"/>
  <c r="E18" i="65"/>
  <c r="E19" i="65"/>
  <c r="F5" i="43"/>
  <c r="G5" i="43"/>
  <c r="H5" i="43"/>
  <c r="F6" i="43"/>
  <c r="G6" i="43"/>
  <c r="H6" i="43"/>
  <c r="G7" i="43"/>
  <c r="H7" i="43"/>
  <c r="F16" i="43"/>
  <c r="G16" i="43"/>
  <c r="H16" i="43"/>
  <c r="F17" i="43"/>
  <c r="G17" i="43"/>
  <c r="H17" i="43"/>
  <c r="G18" i="43"/>
  <c r="H18" i="43"/>
  <c r="H34" i="43"/>
  <c r="F35" i="43"/>
  <c r="G35" i="43"/>
  <c r="F41" i="43"/>
  <c r="G41" i="43"/>
  <c r="H41" i="43"/>
  <c r="F42" i="43"/>
  <c r="G42" i="43"/>
  <c r="H42" i="43"/>
  <c r="G43" i="43"/>
  <c r="H43" i="43"/>
  <c r="E120" i="60"/>
  <c r="E121" i="60"/>
  <c r="E122" i="60"/>
  <c r="E123" i="60"/>
  <c r="E134" i="60"/>
  <c r="E135" i="60"/>
  <c r="F135" i="60"/>
  <c r="E136" i="60"/>
  <c r="H136" i="60"/>
  <c r="E138" i="60"/>
  <c r="E121" i="61"/>
  <c r="E122" i="61"/>
  <c r="E123" i="61"/>
  <c r="E124" i="61"/>
  <c r="E135" i="61"/>
  <c r="E136" i="61"/>
  <c r="F136" i="61"/>
  <c r="E137" i="61"/>
  <c r="H137" i="61"/>
  <c r="E139" i="61"/>
</calcChain>
</file>

<file path=xl/sharedStrings.xml><?xml version="1.0" encoding="utf-8"?>
<sst xmlns="http://schemas.openxmlformats.org/spreadsheetml/2006/main" count="556" uniqueCount="219">
  <si>
    <t>%</t>
  </si>
  <si>
    <t>ITEM</t>
  </si>
  <si>
    <t>A</t>
  </si>
  <si>
    <t>B</t>
  </si>
  <si>
    <t>C</t>
  </si>
  <si>
    <t>D</t>
  </si>
  <si>
    <t>E</t>
  </si>
  <si>
    <t>F</t>
  </si>
  <si>
    <t>G</t>
  </si>
  <si>
    <t>H</t>
  </si>
  <si>
    <t>INSS</t>
  </si>
  <si>
    <t>INCRA</t>
  </si>
  <si>
    <t>FGTS</t>
  </si>
  <si>
    <t>SEBRAE</t>
  </si>
  <si>
    <t>Afastamento Maternidade</t>
  </si>
  <si>
    <t>Aviso Prévio Trabalhado</t>
  </si>
  <si>
    <t>Adicional Noturno</t>
  </si>
  <si>
    <t>Módulo 1 - Composição da Remuneração</t>
  </si>
  <si>
    <t>Composição da Remuneração</t>
  </si>
  <si>
    <t>Valor (R$)</t>
  </si>
  <si>
    <t>Salário-Base</t>
  </si>
  <si>
    <t>Total</t>
  </si>
  <si>
    <t>Módulo 2 - Encargos e Benefícios Anuais, Mensais e Diários</t>
  </si>
  <si>
    <t>2.1</t>
  </si>
  <si>
    <t>Percentual (%)</t>
  </si>
  <si>
    <t>13º (décimo terceiro) Salário</t>
  </si>
  <si>
    <t>Submódulo 2.2 - Encargos Previdenciários (GPS), Fundo de Garantia por Tempo de Serviço (FGTS) e outras contribuições.</t>
  </si>
  <si>
    <t>2.2</t>
  </si>
  <si>
    <t>GPS, FGTS e outras contribuições</t>
  </si>
  <si>
    <t>Salário Educação</t>
  </si>
  <si>
    <t xml:space="preserve">Total </t>
  </si>
  <si>
    <t>Submódulo 2.3 - Benefícios Mensais e Diários</t>
  </si>
  <si>
    <t>2.3</t>
  </si>
  <si>
    <t>Benefícios Mensais e Diários</t>
  </si>
  <si>
    <t>Valor Unit.</t>
  </si>
  <si>
    <t>Quadro-Resumo do Módulo 2 - Encargos e Benefícios anuais, mensais e diários</t>
  </si>
  <si>
    <t>Encargos e Benefícios Anuais, Mensais e Diários</t>
  </si>
  <si>
    <t>Módulo 3 - Provisão para Rescisão</t>
  </si>
  <si>
    <t>Provisão para Rescisão</t>
  </si>
  <si>
    <t>Aviso Prévio Indenizado</t>
  </si>
  <si>
    <t>Incidência do FGTS sobre o Aviso Prévio Indenizado</t>
  </si>
  <si>
    <t>Multa do FGTS sobre o Aviso Prévio Indenizado</t>
  </si>
  <si>
    <t>Incidência dos encargos do submódulo 2.2 sobre o Aviso Prévio Trabalhado</t>
  </si>
  <si>
    <t>Multa do FGTS sobre o Aviso Prévio Trabalhado</t>
  </si>
  <si>
    <t>Módulo 4 - Custo de Reposição do Profissional Ausente</t>
  </si>
  <si>
    <t>Submódulo 4.1 - Ausências Legais</t>
  </si>
  <si>
    <t>4.1</t>
  </si>
  <si>
    <t>Ausências Legais</t>
  </si>
  <si>
    <t>Licença-Paternidade</t>
  </si>
  <si>
    <t>Submódulo 4.2 - Intrajornada</t>
  </si>
  <si>
    <t>4.2</t>
  </si>
  <si>
    <t>Intrajornada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</si>
  <si>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</si>
  <si>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</si>
  <si>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</si>
  <si>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</si>
  <si>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Módulo 6 - Custos Indiretos, Tributos e Lucro</t>
  </si>
  <si>
    <t>Custos Indiretos, Tributos e Lucro</t>
  </si>
  <si>
    <t>Custos Indiretos</t>
  </si>
  <si>
    <t>Lucro</t>
  </si>
  <si>
    <t>Tributos</t>
  </si>
  <si>
    <t>C.1. Tributos Federais (PIS)</t>
  </si>
  <si>
    <t>C.2. Tributos Federais (COFINS)</t>
  </si>
  <si>
    <t>C.3. Tributos Municipais (ISS)</t>
  </si>
  <si>
    <t>2. QUADRO-RESUMO DO CUSTO POR EMPREGADO</t>
  </si>
  <si>
    <t>Mão de obra vinculada à execução contratual (valor por empregado)</t>
  </si>
  <si>
    <t>Subtotal (A + B +C+ D+E)</t>
  </si>
  <si>
    <t>Módulo 6 – Custos Indiretos, Tributos e Lucro</t>
  </si>
  <si>
    <t>coeficiente</t>
  </si>
  <si>
    <t>R$</t>
  </si>
  <si>
    <t/>
  </si>
  <si>
    <t>EQUIPAMENTOS</t>
  </si>
  <si>
    <t>Ausência por doença</t>
  </si>
  <si>
    <t xml:space="preserve">Valor Total Mensal por Empregado </t>
  </si>
  <si>
    <t>DISCRIMINAÇÃO DOS SERVIÇOS</t>
  </si>
  <si>
    <t>Data da apresentação da proposta</t>
  </si>
  <si>
    <t>Município/UF</t>
  </si>
  <si>
    <t>Ano do Acordo, Convenção ou Dissídio Coletivo</t>
  </si>
  <si>
    <t>Número de meses da execução contratual</t>
  </si>
  <si>
    <t>DADOS PARA A COMPOSIÇÃO DOS CUSTOS REF. AS MÃO DE OBRA</t>
  </si>
  <si>
    <t>Tipo de Serviço</t>
  </si>
  <si>
    <t>Classificação Brasíleira de Ocupações (CBO)</t>
  </si>
  <si>
    <t>Salário Normativo da Categoria Profissional</t>
  </si>
  <si>
    <t>Categoria Profissional vinculada à execução contratual</t>
  </si>
  <si>
    <t>Incidência so Submódulo 2.2</t>
  </si>
  <si>
    <t>Multa do FGTS sobre Rescisão sem Justa Causa</t>
  </si>
  <si>
    <t xml:space="preserve">Férias </t>
  </si>
  <si>
    <t>I</t>
  </si>
  <si>
    <t>Incidência do Submódulo 2.1</t>
  </si>
  <si>
    <t>Subtotal das Ausências Legais</t>
  </si>
  <si>
    <t>Incidência do Submódulo 2.2</t>
  </si>
  <si>
    <t>Multa do FGTS</t>
  </si>
  <si>
    <t>Data Base da Categoria daCategoria Profissional</t>
  </si>
  <si>
    <t>Submódulo 2.1 - 13º (décimo terceiro) Salário, Adicional de Férias e Incidências</t>
  </si>
  <si>
    <t xml:space="preserve">SESC </t>
  </si>
  <si>
    <t>SENAC</t>
  </si>
  <si>
    <t>13º (décimo terceiro) Salário e Adicional de Férias</t>
  </si>
  <si>
    <t>Ausência por acidente de trabalho</t>
  </si>
  <si>
    <t xml:space="preserve">PLANILHA DE CUSTOS E FORMAÇÃO DE PREÇOS </t>
  </si>
  <si>
    <t>Transporte (já descontada a participação do colaborador</t>
  </si>
  <si>
    <t>Quantidade de dias trabalhados no mês</t>
  </si>
  <si>
    <t xml:space="preserve">Auxílio Alimentação </t>
  </si>
  <si>
    <t xml:space="preserve">Auxílio Saúde </t>
  </si>
  <si>
    <t xml:space="preserve">Indenização do Intervalo para repouso e alimentação </t>
  </si>
  <si>
    <t>Valor Total Mensal por Posto com a seguinte quantidade de profissional</t>
  </si>
  <si>
    <t>Seguro de Vida / Assistência Funeral</t>
  </si>
  <si>
    <t>Férias e Adicional de Férias (1/3)</t>
  </si>
  <si>
    <t>Tipo de Posto</t>
  </si>
  <si>
    <t>Qtde Postos</t>
  </si>
  <si>
    <t xml:space="preserve">Valor Total Mensal </t>
  </si>
  <si>
    <t>Valor Total Anual</t>
  </si>
  <si>
    <t>LOTES</t>
  </si>
  <si>
    <t>VALOR TOTAL</t>
  </si>
  <si>
    <t>Posto de Vigilância (Diurno)</t>
  </si>
  <si>
    <t>Posto de Vigilância (Noturno)</t>
  </si>
  <si>
    <t>Posto de Agente de Portaria (Diurno)</t>
  </si>
  <si>
    <t>Posto de Agente de Portaria (Noturno)</t>
  </si>
  <si>
    <t>Posto de Bombeiro Civil (Diurno)</t>
  </si>
  <si>
    <t>Posto de Bombeiro Civil (Noturno)</t>
  </si>
  <si>
    <t xml:space="preserve">Valor Unitário Posto </t>
  </si>
  <si>
    <t>Posto de Agente de Portaria (7h às 16h)</t>
  </si>
  <si>
    <t>Posto de Agente de Portaria (13h às 22h)</t>
  </si>
  <si>
    <t>Data Base da Categoria da Categoria Profissional</t>
  </si>
  <si>
    <t xml:space="preserve">Periculosidade </t>
  </si>
  <si>
    <t>SESILAB - LOTE I - ITEM 2</t>
  </si>
  <si>
    <t>INSTITUTO SESI - LOTE I - ITEM 4</t>
  </si>
  <si>
    <t>INSTITUTO SESI - LOTE I - ITEM 2</t>
  </si>
  <si>
    <t>SESILAB - LOTE 3</t>
  </si>
  <si>
    <t>Valor 24 Meses</t>
  </si>
  <si>
    <t>Vigilante</t>
  </si>
  <si>
    <t>Vigilância Diurna 12x36 - Desarmada</t>
  </si>
  <si>
    <t>Vigilância Noturna 12x36 - Desarmada</t>
  </si>
  <si>
    <t>Transporte (já descontada a participação do colaborador 6%</t>
  </si>
  <si>
    <t>Auxílio Alimentação ( já descontada a participação do colaborador 18%</t>
  </si>
  <si>
    <t xml:space="preserve">Cesta Básica </t>
  </si>
  <si>
    <t>CALÇA</t>
  </si>
  <si>
    <t>CAMISA MANGA COMPRIDA</t>
  </si>
  <si>
    <t>CAMISA DE MANGA  CURTA</t>
  </si>
  <si>
    <t>CAMISETA DE ALGODÃO DE MANGA CURTA</t>
  </si>
  <si>
    <t>CINTO DE NYLON</t>
  </si>
  <si>
    <t>BOTA TÁTICA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</si>
  <si>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</si>
  <si>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</si>
  <si>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</si>
  <si>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</si>
  <si>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</si>
  <si>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</si>
  <si>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APARELHO CELULAR OU SIMILAR</t>
  </si>
  <si>
    <t>RELÓGIO DE PONTO ELETRÔNICO</t>
  </si>
  <si>
    <t>SISTEMA DE RONDA ELETRÔNICO</t>
  </si>
  <si>
    <t>CASSETETE</t>
  </si>
  <si>
    <t>PORTA-CASSETETE</t>
  </si>
  <si>
    <t>APITO</t>
  </si>
  <si>
    <t>CORDÃO DE APITO</t>
  </si>
  <si>
    <t>LIVRO DE OCORRÊNCIA</t>
  </si>
  <si>
    <t>CANETA</t>
  </si>
  <si>
    <t>COLETE BALÍSTICO</t>
  </si>
  <si>
    <t xml:space="preserve"> UNIFORMES, MATERIAIS E EQUIPAMENTOS</t>
  </si>
  <si>
    <t xml:space="preserve">QUADROS RESUMO </t>
  </si>
  <si>
    <t>MATERIAIS DE APOIO</t>
  </si>
  <si>
    <t>UNIFORMES</t>
  </si>
  <si>
    <t>(A)</t>
  </si>
  <si>
    <t>(C)</t>
  </si>
  <si>
    <t>DESCRIÇÃO</t>
  </si>
  <si>
    <t>VALOR UNIT</t>
  </si>
  <si>
    <r>
      <rPr>
        <b/>
        <sz val="12"/>
        <rFont val="Arial Nova Cond"/>
        <family val="2"/>
      </rPr>
      <t>QUANT.
ANUAL</t>
    </r>
  </si>
  <si>
    <t>QUANT.</t>
  </si>
  <si>
    <t>VIDA ÚTIL (MESES)</t>
  </si>
  <si>
    <t>(B)</t>
  </si>
  <si>
    <t>(D)</t>
  </si>
  <si>
    <t>Valor 12 Meses</t>
  </si>
  <si>
    <t xml:space="preserve">Materiais </t>
  </si>
  <si>
    <t xml:space="preserve">Equipamentos </t>
  </si>
  <si>
    <t>SAT (RAT = 3,00% x FAP = 1,0)</t>
  </si>
  <si>
    <t>VIGILANTE DIURNO - ESCALA 12X36</t>
  </si>
  <si>
    <t>VIGILANTE NOTURNO - ESCALA 12X36</t>
  </si>
  <si>
    <t>A/C*B</t>
  </si>
  <si>
    <t xml:space="preserve">CUSTO MENSAL </t>
  </si>
  <si>
    <t>CUSTO MENSAL POR VIGILANTE</t>
  </si>
  <si>
    <t>CUSTO ANUAL POR VIGILANTE</t>
  </si>
  <si>
    <t>LANTERNA RECARREGÁVEL 12 LEDs</t>
  </si>
  <si>
    <t xml:space="preserve">SÃO PAULO </t>
  </si>
  <si>
    <t>5173-30</t>
  </si>
  <si>
    <t>CIDADE</t>
  </si>
  <si>
    <t>SÃO PAULO/SP</t>
  </si>
  <si>
    <t>12x36 Desarm. Diurno</t>
  </si>
  <si>
    <t>12x36 Desarm. Noturno</t>
  </si>
  <si>
    <t xml:space="preserve">CÁLCULO DO FATOR K </t>
  </si>
  <si>
    <t xml:space="preserve">Discriminação </t>
  </si>
  <si>
    <t>GRUPO</t>
  </si>
  <si>
    <t>DESCRIÇÃO/ ESPECIFICAÇÃO</t>
  </si>
  <si>
    <t>QUANTIDADE</t>
  </si>
  <si>
    <t>VALOR UNITÁRIO )R$</t>
  </si>
  <si>
    <t>VALOR TOTAL MENSAL (R$)</t>
  </si>
  <si>
    <t>VALOR TOTAL            12 MESES (R$)</t>
  </si>
  <si>
    <t xml:space="preserve">RESUMO DE PREÇOS </t>
  </si>
  <si>
    <t xml:space="preserve">Adicional de Hora Noturna Reduzida </t>
  </si>
  <si>
    <t>Enquadramento Sindical da empresa</t>
  </si>
  <si>
    <t xml:space="preserve">SESVESP </t>
  </si>
  <si>
    <t>*Os custos com Uniformes serão abarcados pela proponente, tendo em visto que já possuimos todo esse material em estoque e o fornecimento não é em grande escala.</t>
  </si>
  <si>
    <r>
      <t>Uniforme e EPI's</t>
    </r>
    <r>
      <rPr>
        <b/>
        <sz val="9"/>
        <color rgb="FFFF0000"/>
        <rFont val="Arial Narrow"/>
        <family val="2"/>
      </rPr>
      <t xml:space="preserve">  *Os custos com Uniformes serão abarcados pela proponente, tendo em visto que já possuimos todo esse material em estoque e o fornecimento não é em grande escala.</t>
    </r>
  </si>
  <si>
    <r>
      <t>Uniforme e EPI's</t>
    </r>
    <r>
      <rPr>
        <b/>
        <sz val="9"/>
        <color rgb="FFFF0000"/>
        <rFont val="Arial Narrow"/>
        <family val="2"/>
      </rPr>
      <t xml:space="preserve"> *Os custos com Uniformes serão abarcados pela proponente, tendo em visto que já possuimos todo esse material em estoque e o fornecimento não é em grande escala.</t>
    </r>
  </si>
  <si>
    <t>Data da apresentação do reajuste</t>
  </si>
  <si>
    <t>SP012190/2024</t>
  </si>
  <si>
    <t>01/01/2025</t>
  </si>
  <si>
    <t>ANO</t>
  </si>
  <si>
    <t>POSTOS</t>
  </si>
  <si>
    <t xml:space="preserve">MENSAL </t>
  </si>
  <si>
    <t xml:space="preserve">ANUAL </t>
  </si>
  <si>
    <t>% DE REPACTUAÇÃO</t>
  </si>
  <si>
    <t>EFEITOS FINANCEIROS DA 1ª REPACTUAÇÃO</t>
  </si>
  <si>
    <t>Período</t>
  </si>
  <si>
    <t>Valor Atual Mensal (R$)</t>
  </si>
  <si>
    <t>Valor Repactuado Mensal (R$)</t>
  </si>
  <si>
    <t>Diferença Mensal</t>
  </si>
  <si>
    <t>21/02/2025 a 28/02/2025</t>
  </si>
  <si>
    <t>VALOR DO APOSTILAMENTO</t>
  </si>
  <si>
    <t>Até 20/02/2026</t>
  </si>
  <si>
    <t>REPACTUAÇÃO CCT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</si>
</sst>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12"/>
      <color theme="0"/>
      <name val="Arial Narrow"/>
      <family val="2"/>
    </font>
    <font>
      <b/>
      <sz val="9"/>
      <color rgb="FFFF0000"/>
      <name val="Arial Narrow"/>
      <family val="2"/>
    </font>
    <font>
      <sz val="9"/>
      <name val="Arial Narrow"/>
      <family val="2"/>
    </font>
    <font>
      <sz val="15"/>
      <color theme="0"/>
      <name val="Arial Black"/>
      <family val="2"/>
    </font>
    <font>
      <b/>
      <sz val="12"/>
      <color rgb="FF000000"/>
      <name val="Arial Nova Cond"/>
      <family val="2"/>
    </font>
    <font>
      <sz val="12"/>
      <color rgb="FF000000"/>
      <name val="Arial Nova Cond"/>
      <family val="2"/>
    </font>
    <font>
      <b/>
      <sz val="13"/>
      <color rgb="FF000000"/>
      <name val="Arial Nova Cond"/>
      <family val="2"/>
    </font>
    <font>
      <b/>
      <sz val="14"/>
      <color rgb="FF000000"/>
      <name val="Arial Black"/>
      <family val="2"/>
    </font>
    <font>
      <b/>
      <sz val="12"/>
      <name val="Arial Nova Cond"/>
      <family val="2"/>
    </font>
    <font>
      <sz val="12"/>
      <name val="Arial Nova Cond"/>
      <family val="2"/>
    </font>
    <font>
      <b/>
      <sz val="12"/>
      <color theme="0"/>
      <name val="Arial Nova Cond"/>
      <family val="2"/>
    </font>
    <font>
      <b/>
      <sz val="12"/>
      <color theme="1"/>
      <name val="Arial Nova Cond"/>
      <family val="2"/>
    </font>
    <font>
      <sz val="10"/>
      <color theme="1"/>
      <name val="Calibri"/>
      <family val="2"/>
      <scheme val="minor"/>
    </font>
    <font>
      <sz val="14"/>
      <color theme="0"/>
      <name val="Arial Black"/>
      <family val="2"/>
    </font>
    <font>
      <b/>
      <sz val="12"/>
      <color rgb="FFFF0000"/>
      <name val="Arial Nova Cond"/>
      <family val="2"/>
    </font>
    <font>
      <sz val="12"/>
      <color theme="1"/>
      <name val="Arial Nova Cond"/>
      <family val="2"/>
    </font>
    <font>
      <sz val="10"/>
      <color theme="0"/>
      <name val="Arial Black"/>
      <family val="2"/>
    </font>
    <font>
      <b/>
      <sz val="7"/>
      <color rgb="FFFFFFFF"/>
      <name val="Calibri"/>
      <family val="2"/>
      <scheme val="minor"/>
    </font>
    <font>
      <b/>
      <sz val="7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8FAADC"/>
      </patternFill>
    </fill>
    <fill>
      <patternFill patternType="solid">
        <fgColor theme="4" tint="0.59999389629810485"/>
        <bgColor rgb="FF8FAADC"/>
      </patternFill>
    </fill>
    <fill>
      <patternFill patternType="solid">
        <fgColor rgb="FFB4C6E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AEEF3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3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44" fontId="2" fillId="0" borderId="0" xfId="4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quotePrefix="1" applyFont="1" applyAlignment="1">
      <alignment vertical="center"/>
    </xf>
    <xf numFmtId="10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horizontal="center" vertical="center"/>
    </xf>
    <xf numFmtId="10" fontId="2" fillId="0" borderId="0" xfId="2" applyNumberFormat="1" applyFont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44" fontId="2" fillId="0" borderId="1" xfId="4" applyFont="1" applyBorder="1" applyAlignment="1">
      <alignment horizontal="center" vertical="center" wrapText="1"/>
    </xf>
    <xf numFmtId="10" fontId="2" fillId="3" borderId="1" xfId="2" applyNumberFormat="1" applyFont="1" applyFill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3" fontId="2" fillId="0" borderId="1" xfId="0" applyNumberFormat="1" applyFont="1" applyBorder="1" applyAlignment="1">
      <alignment vertical="center" wrapText="1"/>
    </xf>
    <xf numFmtId="44" fontId="2" fillId="3" borderId="1" xfId="4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10" fontId="2" fillId="0" borderId="1" xfId="2" applyNumberFormat="1" applyFont="1" applyBorder="1" applyAlignment="1">
      <alignment horizontal="center" vertical="center" wrapText="1"/>
    </xf>
    <xf numFmtId="10" fontId="3" fillId="0" borderId="1" xfId="2" applyNumberFormat="1" applyFont="1" applyBorder="1" applyAlignment="1">
      <alignment horizontal="center" vertical="center" wrapText="1"/>
    </xf>
    <xf numFmtId="44" fontId="2" fillId="3" borderId="1" xfId="0" applyNumberFormat="1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vertical="center" wrapText="1"/>
    </xf>
    <xf numFmtId="44" fontId="2" fillId="0" borderId="1" xfId="4" applyFont="1" applyBorder="1" applyAlignment="1">
      <alignment vertical="center" wrapText="1"/>
    </xf>
    <xf numFmtId="44" fontId="3" fillId="0" borderId="1" xfId="0" applyNumberFormat="1" applyFont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44" fontId="3" fillId="7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0" fontId="3" fillId="7" borderId="1" xfId="0" applyNumberFormat="1" applyFont="1" applyFill="1" applyBorder="1" applyAlignment="1">
      <alignment horizontal="center" vertical="center" wrapText="1"/>
    </xf>
    <xf numFmtId="44" fontId="3" fillId="7" borderId="1" xfId="0" applyNumberFormat="1" applyFont="1" applyFill="1" applyBorder="1" applyAlignment="1">
      <alignment horizontal="center" vertical="center" wrapText="1"/>
    </xf>
    <xf numFmtId="44" fontId="3" fillId="7" borderId="1" xfId="4" applyFont="1" applyFill="1" applyBorder="1" applyAlignment="1">
      <alignment horizontal="center" vertical="center" wrapText="1"/>
    </xf>
    <xf numFmtId="10" fontId="3" fillId="7" borderId="1" xfId="2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164" fontId="3" fillId="3" borderId="0" xfId="0" applyNumberFormat="1" applyFont="1" applyFill="1" applyAlignment="1">
      <alignment horizontal="center" vertical="center"/>
    </xf>
    <xf numFmtId="10" fontId="3" fillId="3" borderId="0" xfId="2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0" fontId="2" fillId="3" borderId="0" xfId="2" applyNumberFormat="1" applyFont="1" applyFill="1" applyBorder="1" applyAlignment="1">
      <alignment horizontal="center" vertical="center"/>
    </xf>
    <xf numFmtId="44" fontId="7" fillId="3" borderId="1" xfId="0" applyNumberFormat="1" applyFont="1" applyFill="1" applyBorder="1" applyAlignment="1">
      <alignment horizontal="center" vertical="center" wrapText="1"/>
    </xf>
    <xf numFmtId="44" fontId="2" fillId="0" borderId="0" xfId="0" applyNumberFormat="1" applyFont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0" fontId="3" fillId="2" borderId="1" xfId="2" applyNumberFormat="1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4" fontId="3" fillId="0" borderId="0" xfId="0" applyNumberFormat="1" applyFont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4" fontId="3" fillId="2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1" fontId="2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44" fontId="10" fillId="3" borderId="1" xfId="4" applyFont="1" applyFill="1" applyBorder="1" applyAlignment="1" applyProtection="1">
      <alignment horizontal="center" vertical="center" wrapText="1"/>
    </xf>
    <xf numFmtId="44" fontId="11" fillId="7" borderId="1" xfId="4" applyFont="1" applyFill="1" applyBorder="1" applyAlignment="1" applyProtection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44" fontId="0" fillId="0" borderId="0" xfId="4" applyFont="1"/>
    <xf numFmtId="44" fontId="9" fillId="7" borderId="1" xfId="4" applyFont="1" applyFill="1" applyBorder="1" applyAlignment="1">
      <alignment horizontal="center" vertical="center" wrapText="1"/>
    </xf>
    <xf numFmtId="44" fontId="10" fillId="3" borderId="1" xfId="4" applyFont="1" applyFill="1" applyBorder="1" applyAlignment="1">
      <alignment horizontal="center" vertical="center" wrapText="1"/>
    </xf>
    <xf numFmtId="44" fontId="11" fillId="10" borderId="1" xfId="4" applyFont="1" applyFill="1" applyBorder="1" applyAlignment="1">
      <alignment horizontal="center" vertical="center" wrapText="1"/>
    </xf>
    <xf numFmtId="44" fontId="0" fillId="0" borderId="0" xfId="4" applyFont="1" applyAlignment="1">
      <alignment horizontal="center" vertical="center"/>
    </xf>
    <xf numFmtId="44" fontId="2" fillId="3" borderId="1" xfId="4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4" fontId="11" fillId="0" borderId="0" xfId="4" applyFont="1" applyFill="1" applyBorder="1" applyAlignment="1">
      <alignment horizontal="center" vertical="center" wrapText="1"/>
    </xf>
    <xf numFmtId="44" fontId="11" fillId="0" borderId="0" xfId="4" applyFont="1" applyFill="1" applyBorder="1" applyAlignment="1" applyProtection="1">
      <alignment horizontal="center" vertical="center" wrapText="1"/>
    </xf>
    <xf numFmtId="44" fontId="0" fillId="0" borderId="0" xfId="4" applyFont="1" applyFill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top"/>
    </xf>
    <xf numFmtId="44" fontId="14" fillId="0" borderId="17" xfId="4" applyFont="1" applyFill="1" applyBorder="1" applyAlignment="1">
      <alignment horizontal="center" vertical="top"/>
    </xf>
    <xf numFmtId="44" fontId="14" fillId="0" borderId="16" xfId="4" applyFont="1" applyFill="1" applyBorder="1" applyAlignment="1">
      <alignment horizontal="left" vertical="top"/>
    </xf>
    <xf numFmtId="44" fontId="13" fillId="0" borderId="16" xfId="4" applyFont="1" applyFill="1" applyBorder="1" applyAlignment="1">
      <alignment horizontal="left" vertical="top"/>
    </xf>
    <xf numFmtId="0" fontId="14" fillId="0" borderId="0" xfId="0" applyFont="1"/>
    <xf numFmtId="44" fontId="14" fillId="0" borderId="0" xfId="4" applyFont="1" applyFill="1" applyAlignment="1"/>
    <xf numFmtId="0" fontId="14" fillId="0" borderId="0" xfId="0" applyFont="1" applyAlignment="1">
      <alignment horizontal="left" vertical="center"/>
    </xf>
    <xf numFmtId="1" fontId="14" fillId="0" borderId="17" xfId="0" applyNumberFormat="1" applyFont="1" applyBorder="1" applyAlignment="1">
      <alignment horizontal="center" vertical="top" shrinkToFit="1"/>
    </xf>
    <xf numFmtId="0" fontId="14" fillId="0" borderId="17" xfId="0" applyFont="1" applyBorder="1" applyAlignment="1">
      <alignment horizontal="left"/>
    </xf>
    <xf numFmtId="44" fontId="14" fillId="0" borderId="0" xfId="4" applyFont="1" applyFill="1" applyAlignment="1">
      <alignment horizontal="left" vertical="center"/>
    </xf>
    <xf numFmtId="44" fontId="14" fillId="0" borderId="16" xfId="4" applyFont="1" applyFill="1" applyBorder="1" applyAlignment="1">
      <alignment horizontal="center" vertical="top" shrinkToFit="1"/>
    </xf>
    <xf numFmtId="44" fontId="13" fillId="0" borderId="16" xfId="4" applyFont="1" applyFill="1" applyBorder="1" applyAlignment="1">
      <alignment horizontal="center" vertical="top" shrinkToFit="1"/>
    </xf>
    <xf numFmtId="44" fontId="0" fillId="0" borderId="0" xfId="0" applyNumberFormat="1"/>
    <xf numFmtId="9" fontId="0" fillId="0" borderId="0" xfId="2" applyFont="1" applyAlignment="1">
      <alignment horizontal="center" vertical="center"/>
    </xf>
    <xf numFmtId="0" fontId="16" fillId="7" borderId="1" xfId="0" applyFont="1" applyFill="1" applyBorder="1" applyAlignment="1">
      <alignment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44" fontId="13" fillId="11" borderId="17" xfId="4" applyFont="1" applyFill="1" applyBorder="1" applyAlignment="1">
      <alignment horizontal="center" vertical="top"/>
    </xf>
    <xf numFmtId="0" fontId="13" fillId="11" borderId="17" xfId="0" applyFont="1" applyFill="1" applyBorder="1" applyAlignment="1">
      <alignment horizontal="center" vertical="top"/>
    </xf>
    <xf numFmtId="44" fontId="13" fillId="11" borderId="17" xfId="4" applyFont="1" applyFill="1" applyBorder="1" applyAlignment="1">
      <alignment horizontal="center" vertical="center"/>
    </xf>
    <xf numFmtId="0" fontId="13" fillId="11" borderId="17" xfId="0" applyFont="1" applyFill="1" applyBorder="1" applyAlignment="1">
      <alignment horizontal="center" vertical="center"/>
    </xf>
    <xf numFmtId="44" fontId="13" fillId="11" borderId="19" xfId="4" applyFont="1" applyFill="1" applyBorder="1" applyAlignment="1">
      <alignment horizontal="center" vertical="top"/>
    </xf>
    <xf numFmtId="0" fontId="13" fillId="11" borderId="19" xfId="0" applyFont="1" applyFill="1" applyBorder="1" applyAlignment="1">
      <alignment horizontal="center" vertical="top"/>
    </xf>
    <xf numFmtId="0" fontId="13" fillId="11" borderId="21" xfId="0" applyFont="1" applyFill="1" applyBorder="1" applyAlignment="1">
      <alignment horizontal="center" vertical="top"/>
    </xf>
    <xf numFmtId="44" fontId="13" fillId="11" borderId="16" xfId="4" applyFont="1" applyFill="1" applyBorder="1" applyAlignment="1">
      <alignment horizontal="center" vertical="center"/>
    </xf>
    <xf numFmtId="0" fontId="13" fillId="11" borderId="16" xfId="0" applyFont="1" applyFill="1" applyBorder="1" applyAlignment="1">
      <alignment horizontal="center" vertical="top"/>
    </xf>
    <xf numFmtId="1" fontId="14" fillId="0" borderId="1" xfId="0" applyNumberFormat="1" applyFont="1" applyBorder="1" applyAlignment="1">
      <alignment horizontal="center" vertical="top" shrinkToFit="1"/>
    </xf>
    <xf numFmtId="44" fontId="14" fillId="0" borderId="1" xfId="4" applyFont="1" applyFill="1" applyBorder="1" applyAlignment="1">
      <alignment horizontal="center" vertical="top"/>
    </xf>
    <xf numFmtId="44" fontId="13" fillId="0" borderId="1" xfId="4" applyFont="1" applyFill="1" applyBorder="1" applyAlignment="1">
      <alignment horizontal="center" vertical="top"/>
    </xf>
    <xf numFmtId="1" fontId="14" fillId="0" borderId="1" xfId="0" applyNumberFormat="1" applyFont="1" applyBorder="1" applyAlignment="1">
      <alignment horizontal="center" vertical="top" wrapText="1" shrinkToFit="1"/>
    </xf>
    <xf numFmtId="44" fontId="13" fillId="11" borderId="17" xfId="4" applyFont="1" applyFill="1" applyBorder="1" applyAlignment="1">
      <alignment horizontal="center" vertical="center" wrapText="1"/>
    </xf>
    <xf numFmtId="0" fontId="14" fillId="0" borderId="17" xfId="4" applyNumberFormat="1" applyFont="1" applyFill="1" applyBorder="1" applyAlignment="1">
      <alignment horizontal="center" vertical="top" wrapText="1" shrinkToFit="1"/>
    </xf>
    <xf numFmtId="44" fontId="13" fillId="11" borderId="19" xfId="4" applyFont="1" applyFill="1" applyBorder="1" applyAlignment="1">
      <alignment horizontal="center" vertical="top" wrapText="1"/>
    </xf>
    <xf numFmtId="0" fontId="14" fillId="0" borderId="0" xfId="0" applyFont="1" applyAlignment="1">
      <alignment horizontal="center" wrapText="1"/>
    </xf>
    <xf numFmtId="44" fontId="14" fillId="0" borderId="0" xfId="4" applyFont="1" applyFill="1" applyAlignment="1">
      <alignment horizontal="center" vertical="center" wrapText="1"/>
    </xf>
    <xf numFmtId="44" fontId="13" fillId="11" borderId="17" xfId="4" applyFont="1" applyFill="1" applyBorder="1" applyAlignment="1">
      <alignment horizontal="center" vertical="top" wrapText="1"/>
    </xf>
    <xf numFmtId="44" fontId="14" fillId="0" borderId="0" xfId="4" applyFont="1" applyFill="1" applyAlignment="1">
      <alignment horizontal="center" wrapText="1"/>
    </xf>
    <xf numFmtId="165" fontId="3" fillId="7" borderId="1" xfId="0" applyNumberFormat="1" applyFont="1" applyFill="1" applyBorder="1" applyAlignment="1">
      <alignment vertical="center" wrapText="1"/>
    </xf>
    <xf numFmtId="0" fontId="0" fillId="0" borderId="28" xfId="0" applyBorder="1"/>
    <xf numFmtId="44" fontId="0" fillId="0" borderId="0" xfId="4" applyFont="1" applyBorder="1"/>
    <xf numFmtId="44" fontId="0" fillId="0" borderId="29" xfId="4" applyFont="1" applyBorder="1"/>
    <xf numFmtId="0" fontId="9" fillId="7" borderId="30" xfId="0" applyFont="1" applyFill="1" applyBorder="1" applyAlignment="1">
      <alignment horizontal="center" vertical="center" wrapText="1"/>
    </xf>
    <xf numFmtId="44" fontId="9" fillId="7" borderId="31" xfId="4" applyFont="1" applyFill="1" applyBorder="1" applyAlignment="1">
      <alignment horizontal="center" vertical="center" wrapText="1"/>
    </xf>
    <xf numFmtId="44" fontId="10" fillId="3" borderId="31" xfId="4" applyFont="1" applyFill="1" applyBorder="1" applyAlignment="1">
      <alignment horizontal="center" vertical="center" wrapText="1"/>
    </xf>
    <xf numFmtId="0" fontId="11" fillId="10" borderId="36" xfId="0" applyFont="1" applyFill="1" applyBorder="1" applyAlignment="1">
      <alignment horizontal="center" vertical="center" wrapText="1"/>
    </xf>
    <xf numFmtId="44" fontId="11" fillId="10" borderId="36" xfId="4" applyFont="1" applyFill="1" applyBorder="1" applyAlignment="1">
      <alignment horizontal="center" vertical="center" wrapText="1"/>
    </xf>
    <xf numFmtId="44" fontId="11" fillId="7" borderId="37" xfId="4" applyFont="1" applyFill="1" applyBorder="1" applyAlignment="1" applyProtection="1">
      <alignment horizontal="center" vertical="center" wrapText="1"/>
    </xf>
    <xf numFmtId="44" fontId="17" fillId="0" borderId="0" xfId="4" applyFont="1"/>
    <xf numFmtId="0" fontId="17" fillId="0" borderId="0" xfId="0" applyFont="1"/>
    <xf numFmtId="44" fontId="20" fillId="0" borderId="1" xfId="4" applyFont="1" applyFill="1" applyBorder="1"/>
    <xf numFmtId="0" fontId="20" fillId="0" borderId="1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 wrapText="1"/>
    </xf>
    <xf numFmtId="44" fontId="10" fillId="0" borderId="36" xfId="4" applyFont="1" applyFill="1" applyBorder="1" applyAlignment="1">
      <alignment horizontal="center" vertical="center" wrapText="1"/>
    </xf>
    <xf numFmtId="44" fontId="3" fillId="2" borderId="1" xfId="4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4" fontId="3" fillId="2" borderId="1" xfId="4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43" fontId="3" fillId="0" borderId="1" xfId="0" applyNumberFormat="1" applyFont="1" applyBorder="1" applyAlignment="1">
      <alignment vertical="center" wrapText="1"/>
    </xf>
    <xf numFmtId="164" fontId="3" fillId="0" borderId="0" xfId="0" applyNumberFormat="1" applyFont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23" fillId="13" borderId="0" xfId="0" applyFont="1" applyFill="1" applyAlignment="1">
      <alignment horizontal="center" vertical="center"/>
    </xf>
    <xf numFmtId="0" fontId="23" fillId="13" borderId="0" xfId="0" applyFont="1" applyFill="1" applyAlignment="1">
      <alignment horizontal="center" vertical="center" wrapText="1"/>
    </xf>
    <xf numFmtId="8" fontId="23" fillId="13" borderId="0" xfId="0" applyNumberFormat="1" applyFont="1" applyFill="1" applyAlignment="1">
      <alignment horizontal="center"/>
    </xf>
    <xf numFmtId="44" fontId="24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17" fontId="23" fillId="0" borderId="0" xfId="0" applyNumberFormat="1" applyFont="1" applyAlignment="1">
      <alignment horizontal="center"/>
    </xf>
    <xf numFmtId="44" fontId="23" fillId="13" borderId="0" xfId="0" applyNumberFormat="1" applyFont="1" applyFill="1" applyAlignment="1">
      <alignment horizontal="center"/>
    </xf>
    <xf numFmtId="0" fontId="0" fillId="0" borderId="26" xfId="0" applyBorder="1" applyAlignment="1">
      <alignment horizontal="center"/>
    </xf>
    <xf numFmtId="0" fontId="18" fillId="4" borderId="11" xfId="0" applyFont="1" applyFill="1" applyBorder="1" applyAlignment="1">
      <alignment horizontal="center" vertical="center"/>
    </xf>
    <xf numFmtId="0" fontId="18" fillId="4" borderId="13" xfId="0" applyFont="1" applyFill="1" applyBorder="1" applyAlignment="1">
      <alignment horizontal="center" vertical="center"/>
    </xf>
    <xf numFmtId="0" fontId="18" fillId="4" borderId="12" xfId="0" applyFont="1" applyFill="1" applyBorder="1" applyAlignment="1">
      <alignment horizontal="center" vertical="center"/>
    </xf>
    <xf numFmtId="0" fontId="10" fillId="3" borderId="32" xfId="0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11" fillId="10" borderId="34" xfId="0" applyFont="1" applyFill="1" applyBorder="1" applyAlignment="1">
      <alignment horizontal="center" vertical="center" wrapText="1"/>
    </xf>
    <xf numFmtId="0" fontId="11" fillId="10" borderId="35" xfId="0" applyFont="1" applyFill="1" applyBorder="1" applyAlignment="1">
      <alignment horizontal="center" vertical="center" wrapText="1"/>
    </xf>
    <xf numFmtId="10" fontId="20" fillId="0" borderId="31" xfId="2" applyNumberFormat="1" applyFont="1" applyFill="1" applyBorder="1" applyAlignment="1">
      <alignment horizontal="center" vertical="center"/>
    </xf>
    <xf numFmtId="10" fontId="20" fillId="0" borderId="37" xfId="2" applyNumberFormat="1" applyFont="1" applyFill="1" applyBorder="1" applyAlignment="1">
      <alignment horizontal="center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1" fillId="10" borderId="4" xfId="0" applyFont="1" applyFill="1" applyBorder="1" applyAlignment="1">
      <alignment horizontal="center" vertical="center" wrapText="1"/>
    </xf>
    <xf numFmtId="0" fontId="11" fillId="10" borderId="5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12" fillId="9" borderId="4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40" fontId="5" fillId="4" borderId="3" xfId="0" applyNumberFormat="1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3" fillId="0" borderId="14" xfId="0" applyFont="1" applyBorder="1" applyAlignment="1">
      <alignment horizontal="center" vertical="top"/>
    </xf>
    <xf numFmtId="0" fontId="13" fillId="0" borderId="15" xfId="0" applyFont="1" applyBorder="1" applyAlignment="1">
      <alignment horizontal="center" vertical="top"/>
    </xf>
    <xf numFmtId="0" fontId="13" fillId="0" borderId="16" xfId="0" applyFont="1" applyBorder="1" applyAlignment="1">
      <alignment horizontal="center" vertical="top"/>
    </xf>
    <xf numFmtId="0" fontId="15" fillId="4" borderId="4" xfId="0" applyFont="1" applyFill="1" applyBorder="1" applyAlignment="1">
      <alignment horizontal="center" vertical="top"/>
    </xf>
    <xf numFmtId="0" fontId="15" fillId="4" borderId="5" xfId="0" applyFont="1" applyFill="1" applyBorder="1" applyAlignment="1">
      <alignment horizontal="center" vertical="top"/>
    </xf>
    <xf numFmtId="0" fontId="15" fillId="4" borderId="6" xfId="0" applyFont="1" applyFill="1" applyBorder="1" applyAlignment="1">
      <alignment horizontal="center" vertical="top"/>
    </xf>
    <xf numFmtId="0" fontId="13" fillId="11" borderId="20" xfId="0" applyFont="1" applyFill="1" applyBorder="1" applyAlignment="1">
      <alignment horizontal="left" vertical="center"/>
    </xf>
    <xf numFmtId="0" fontId="13" fillId="11" borderId="19" xfId="0" applyFont="1" applyFill="1" applyBorder="1" applyAlignment="1">
      <alignment horizontal="left" vertical="center"/>
    </xf>
    <xf numFmtId="0" fontId="13" fillId="11" borderId="20" xfId="0" applyFont="1" applyFill="1" applyBorder="1" applyAlignment="1">
      <alignment horizontal="center" vertical="center"/>
    </xf>
    <xf numFmtId="0" fontId="13" fillId="11" borderId="19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top"/>
    </xf>
    <xf numFmtId="0" fontId="13" fillId="11" borderId="18" xfId="0" applyFont="1" applyFill="1" applyBorder="1" applyAlignment="1">
      <alignment horizontal="center" vertical="center"/>
    </xf>
    <xf numFmtId="0" fontId="13" fillId="11" borderId="1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center" vertical="top"/>
    </xf>
    <xf numFmtId="0" fontId="15" fillId="4" borderId="23" xfId="0" applyFont="1" applyFill="1" applyBorder="1" applyAlignment="1">
      <alignment horizontal="center" vertical="top"/>
    </xf>
    <xf numFmtId="0" fontId="15" fillId="4" borderId="24" xfId="0" applyFont="1" applyFill="1" applyBorder="1" applyAlignment="1">
      <alignment horizontal="center" vertical="top"/>
    </xf>
    <xf numFmtId="0" fontId="13" fillId="0" borderId="1" xfId="0" applyFont="1" applyBorder="1" applyAlignment="1">
      <alignment horizontal="right" vertical="top" indent="2"/>
    </xf>
    <xf numFmtId="0" fontId="22" fillId="12" borderId="0" xfId="0" applyFont="1" applyFill="1" applyAlignment="1">
      <alignment horizontal="center" vertical="center"/>
    </xf>
    <xf numFmtId="0" fontId="23" fillId="13" borderId="0" xfId="0" applyFont="1" applyFill="1" applyAlignment="1">
      <alignment horizontal="center"/>
    </xf>
  </cellXfs>
  <cellStyles count="5">
    <cellStyle name="Moeda" xfId="4" builtinId="4"/>
    <cellStyle name="Moeda 2" xfId="3" xr:uid="{00000000-0005-0000-0000-000001000000}"/>
    <cellStyle name="Normal" xfId="0" builtinId="0"/>
    <cellStyle name="Porcentagem" xfId="2" builtinId="5"/>
    <cellStyle name="Vírgula" xfId="1" builtin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DCC5D-394B-4A2E-8D00-BA7DCB6A1B1A}">
  <sheetPr>
    <pageSetUpPr fitToPage="1"/>
  </sheetPr>
  <dimension ref="B1:L44"/>
  <sheetViews>
    <sheetView zoomScale="120" zoomScaleNormal="120" zoomScaleSheetLayoutView="120" workbookViewId="0">
      <selection activeCell="F45" sqref="F45"/>
    </sheetView>
  </sheetViews>
  <sheetFormatPr defaultRowHeight="20.25" customHeight="1" x14ac:dyDescent="0.35"/>
  <cols>
    <col min="1" max="1" width="3.7265625" customWidth="1"/>
    <col min="2" max="2" width="8.7265625" customWidth="1"/>
    <col min="3" max="3" width="7.26953125" bestFit="1" customWidth="1"/>
    <col min="4" max="4" width="23.26953125" customWidth="1"/>
    <col min="5" max="5" width="13.81640625" bestFit="1" customWidth="1"/>
    <col min="6" max="6" width="15.54296875" style="73" bestFit="1" customWidth="1"/>
    <col min="7" max="7" width="19.54296875" style="73" bestFit="1" customWidth="1"/>
    <col min="8" max="8" width="20.54296875" style="73" bestFit="1" customWidth="1"/>
    <col min="9" max="9" width="9.1796875" style="73"/>
    <col min="10" max="10" width="13.7265625" style="73" bestFit="1" customWidth="1"/>
    <col min="11" max="11" width="15" style="73" bestFit="1" customWidth="1"/>
    <col min="12" max="12" width="14.26953125" bestFit="1" customWidth="1"/>
  </cols>
  <sheetData>
    <row r="1" spans="2:12" ht="20.25" customHeight="1" thickBot="1" x14ac:dyDescent="0.4"/>
    <row r="2" spans="2:12" ht="20.25" customHeight="1" x14ac:dyDescent="0.35">
      <c r="B2" s="169" t="s">
        <v>218</v>
      </c>
      <c r="C2" s="170"/>
      <c r="D2" s="170"/>
      <c r="E2" s="170"/>
      <c r="F2" s="170"/>
      <c r="G2" s="170"/>
      <c r="H2" s="171"/>
    </row>
    <row r="3" spans="2:12" ht="20.25" customHeight="1" x14ac:dyDescent="0.35">
      <c r="B3" s="122"/>
      <c r="F3" s="123"/>
      <c r="G3" s="123"/>
      <c r="H3" s="124"/>
    </row>
    <row r="4" spans="2:12" ht="30" x14ac:dyDescent="0.35">
      <c r="B4" s="125" t="s">
        <v>183</v>
      </c>
      <c r="C4" s="67" t="s">
        <v>1</v>
      </c>
      <c r="D4" s="67" t="s">
        <v>188</v>
      </c>
      <c r="E4" s="67" t="s">
        <v>108</v>
      </c>
      <c r="F4" s="74" t="s">
        <v>119</v>
      </c>
      <c r="G4" s="74" t="s">
        <v>109</v>
      </c>
      <c r="H4" s="126" t="s">
        <v>170</v>
      </c>
    </row>
    <row r="5" spans="2:12" ht="27.75" customHeight="1" x14ac:dyDescent="0.35">
      <c r="B5" s="156" t="s">
        <v>184</v>
      </c>
      <c r="C5" s="68">
        <v>1</v>
      </c>
      <c r="D5" s="69" t="s">
        <v>185</v>
      </c>
      <c r="E5" s="68">
        <v>1</v>
      </c>
      <c r="F5" s="70">
        <f ca="1">'VIG 12x36 - DIURNO'!E136</f>
        <v>12489.74</v>
      </c>
      <c r="G5" s="75">
        <f ca="1">ROUND(E5*F5,2)</f>
        <v>12489.74</v>
      </c>
      <c r="H5" s="127">
        <f ca="1">ROUND(G5*12,2)</f>
        <v>149876.88</v>
      </c>
      <c r="L5" s="96"/>
    </row>
    <row r="6" spans="2:12" ht="28.5" customHeight="1" x14ac:dyDescent="0.35">
      <c r="B6" s="157"/>
      <c r="C6" s="68">
        <v>2</v>
      </c>
      <c r="D6" s="69" t="s">
        <v>186</v>
      </c>
      <c r="E6" s="68">
        <v>1</v>
      </c>
      <c r="F6" s="70">
        <f ca="1">'VIG 12x36 - NOTURNO '!E137</f>
        <v>15075.86</v>
      </c>
      <c r="G6" s="75">
        <f ca="1">ROUND(E6*F6,2)</f>
        <v>15075.86</v>
      </c>
      <c r="H6" s="127">
        <f ca="1">ROUND(G6*12,2)</f>
        <v>180910.32</v>
      </c>
      <c r="L6" s="96"/>
    </row>
    <row r="7" spans="2:12" s="14" customFormat="1" ht="17" thickBot="1" x14ac:dyDescent="0.4">
      <c r="B7" s="158" t="s">
        <v>112</v>
      </c>
      <c r="C7" s="159"/>
      <c r="D7" s="159"/>
      <c r="E7" s="128">
        <f>SUM(E5:E6)</f>
        <v>2</v>
      </c>
      <c r="F7" s="129"/>
      <c r="G7" s="129">
        <f ca="1">SUM(G5:G6)</f>
        <v>27565.599999999999</v>
      </c>
      <c r="H7" s="130">
        <f ca="1">SUM(H5:H6)</f>
        <v>330787.20000000001</v>
      </c>
      <c r="I7" s="77"/>
      <c r="J7" s="77"/>
      <c r="K7" s="73"/>
    </row>
    <row r="8" spans="2:12" s="14" customFormat="1" ht="143.25" hidden="1" customHeight="1" x14ac:dyDescent="0.35">
      <c r="B8" s="79"/>
      <c r="C8" s="79"/>
      <c r="D8" s="79"/>
      <c r="E8" s="79"/>
      <c r="F8" s="80"/>
      <c r="G8" s="80"/>
      <c r="H8" s="81"/>
      <c r="I8" s="82"/>
      <c r="J8" s="82"/>
      <c r="K8" s="82"/>
    </row>
    <row r="9" spans="2:12" s="14" customFormat="1" ht="22" hidden="1" x14ac:dyDescent="0.35">
      <c r="B9" s="175" t="s">
        <v>124</v>
      </c>
      <c r="C9" s="176"/>
      <c r="D9" s="176"/>
      <c r="E9" s="176"/>
      <c r="F9" s="176"/>
      <c r="G9" s="176"/>
      <c r="H9" s="177"/>
      <c r="I9" s="82"/>
      <c r="J9" s="82"/>
      <c r="K9" s="82"/>
    </row>
    <row r="10" spans="2:12" s="14" customFormat="1" ht="30" hidden="1" x14ac:dyDescent="0.35">
      <c r="B10" s="67" t="s">
        <v>1</v>
      </c>
      <c r="C10" s="67" t="s">
        <v>1</v>
      </c>
      <c r="D10" s="67" t="s">
        <v>107</v>
      </c>
      <c r="E10" s="67" t="s">
        <v>108</v>
      </c>
      <c r="F10" s="74" t="s">
        <v>119</v>
      </c>
      <c r="G10" s="74" t="s">
        <v>109</v>
      </c>
      <c r="H10" s="74" t="s">
        <v>110</v>
      </c>
      <c r="I10" s="82"/>
      <c r="J10" s="82"/>
      <c r="K10" s="82"/>
    </row>
    <row r="11" spans="2:12" s="14" customFormat="1" ht="30" hidden="1" x14ac:dyDescent="0.35">
      <c r="B11" s="68">
        <v>1</v>
      </c>
      <c r="C11" s="68">
        <v>1</v>
      </c>
      <c r="D11" s="69" t="s">
        <v>115</v>
      </c>
      <c r="E11" s="68">
        <v>4</v>
      </c>
      <c r="F11" s="70" t="e">
        <f>#REF!</f>
        <v>#REF!</v>
      </c>
      <c r="G11" s="75" t="e">
        <f>ROUND(E11*F11,2)</f>
        <v>#REF!</v>
      </c>
      <c r="H11" s="75" t="e">
        <f>ROUND(G11*12,2)</f>
        <v>#REF!</v>
      </c>
      <c r="I11" s="82"/>
      <c r="J11" s="82"/>
      <c r="K11" s="82"/>
    </row>
    <row r="12" spans="2:12" s="14" customFormat="1" ht="30" hidden="1" x14ac:dyDescent="0.35">
      <c r="B12" s="68">
        <f t="shared" ref="B12:C12" si="0">B11+1</f>
        <v>2</v>
      </c>
      <c r="C12" s="68">
        <f t="shared" si="0"/>
        <v>2</v>
      </c>
      <c r="D12" s="69" t="s">
        <v>116</v>
      </c>
      <c r="E12" s="68">
        <v>3</v>
      </c>
      <c r="F12" s="70" t="e">
        <f>#REF!</f>
        <v>#REF!</v>
      </c>
      <c r="G12" s="75" t="e">
        <f>ROUND(E12*F12,2)</f>
        <v>#REF!</v>
      </c>
      <c r="H12" s="75" t="e">
        <f t="shared" ref="H12" si="1">ROUND(G12*12,2)</f>
        <v>#REF!</v>
      </c>
      <c r="I12" s="82"/>
      <c r="J12" s="82"/>
      <c r="K12" s="82"/>
    </row>
    <row r="13" spans="2:12" s="14" customFormat="1" ht="16.5" hidden="1" x14ac:dyDescent="0.35">
      <c r="B13" s="172" t="s">
        <v>112</v>
      </c>
      <c r="C13" s="173"/>
      <c r="D13" s="173"/>
      <c r="E13" s="72">
        <f>SUM(E11:E12)</f>
        <v>7</v>
      </c>
      <c r="F13" s="76"/>
      <c r="G13" s="76" t="e">
        <f>SUM(G11:G12)</f>
        <v>#REF!</v>
      </c>
      <c r="H13" s="71" t="e">
        <f>SUM(H11:H12)</f>
        <v>#REF!</v>
      </c>
      <c r="I13" s="82"/>
      <c r="J13" s="82"/>
      <c r="K13" s="82"/>
    </row>
    <row r="14" spans="2:12" s="14" customFormat="1" ht="22" hidden="1" x14ac:dyDescent="0.35">
      <c r="B14" s="174" t="s">
        <v>126</v>
      </c>
      <c r="C14" s="174"/>
      <c r="D14" s="174"/>
      <c r="E14" s="174"/>
      <c r="F14" s="174"/>
      <c r="G14" s="174"/>
      <c r="H14" s="174"/>
      <c r="I14" s="82"/>
      <c r="J14" s="82"/>
      <c r="K14" s="82"/>
    </row>
    <row r="15" spans="2:12" s="14" customFormat="1" ht="30" hidden="1" x14ac:dyDescent="0.35">
      <c r="B15" s="67" t="s">
        <v>111</v>
      </c>
      <c r="C15" s="67" t="s">
        <v>111</v>
      </c>
      <c r="D15" s="67" t="s">
        <v>107</v>
      </c>
      <c r="E15" s="67" t="s">
        <v>108</v>
      </c>
      <c r="F15" s="74" t="s">
        <v>119</v>
      </c>
      <c r="G15" s="74" t="s">
        <v>109</v>
      </c>
      <c r="H15" s="74" t="s">
        <v>128</v>
      </c>
      <c r="I15" s="82"/>
      <c r="J15" s="82"/>
      <c r="K15" s="82"/>
    </row>
    <row r="16" spans="2:12" s="14" customFormat="1" ht="24" hidden="1" customHeight="1" x14ac:dyDescent="0.35">
      <c r="B16" s="68">
        <v>1</v>
      </c>
      <c r="C16" s="68">
        <v>1</v>
      </c>
      <c r="D16" s="69" t="s">
        <v>113</v>
      </c>
      <c r="E16" s="68">
        <v>2</v>
      </c>
      <c r="F16" s="70">
        <f ca="1">F5</f>
        <v>12489.74</v>
      </c>
      <c r="G16" s="75">
        <f ca="1">ROUND(E16*F16,2)</f>
        <v>24979.48</v>
      </c>
      <c r="H16" s="75">
        <f ca="1">ROUND(G16*24,2)</f>
        <v>599507.52</v>
      </c>
      <c r="I16" s="82"/>
      <c r="J16" s="82"/>
      <c r="K16" s="82"/>
    </row>
    <row r="17" spans="2:11" s="14" customFormat="1" ht="24" hidden="1" customHeight="1" x14ac:dyDescent="0.35">
      <c r="B17" s="68">
        <f t="shared" ref="B17:C17" si="2">B16+1</f>
        <v>2</v>
      </c>
      <c r="C17" s="68">
        <f t="shared" si="2"/>
        <v>2</v>
      </c>
      <c r="D17" s="69" t="s">
        <v>114</v>
      </c>
      <c r="E17" s="68">
        <v>2</v>
      </c>
      <c r="F17" s="70">
        <f ca="1">F6</f>
        <v>15075.86</v>
      </c>
      <c r="G17" s="75">
        <f ca="1">ROUND(E17*F17,2)</f>
        <v>30151.72</v>
      </c>
      <c r="H17" s="75">
        <f ca="1">ROUND(G17*24,2)</f>
        <v>723641.28</v>
      </c>
      <c r="I17" s="82"/>
      <c r="J17" s="82"/>
      <c r="K17" s="82"/>
    </row>
    <row r="18" spans="2:11" s="14" customFormat="1" ht="16.5" hidden="1" x14ac:dyDescent="0.35">
      <c r="B18" s="172" t="s">
        <v>112</v>
      </c>
      <c r="C18" s="173"/>
      <c r="D18" s="173"/>
      <c r="E18" s="72">
        <f>SUM(E16:E17)</f>
        <v>4</v>
      </c>
      <c r="F18" s="76"/>
      <c r="G18" s="76">
        <f ca="1">SUM(G16:G17)</f>
        <v>55131.199999999997</v>
      </c>
      <c r="H18" s="71">
        <f ca="1">SUM(H16:H17)</f>
        <v>1323148.8</v>
      </c>
      <c r="I18" s="82"/>
      <c r="J18" s="82"/>
      <c r="K18" s="82"/>
    </row>
    <row r="19" spans="2:11" ht="20.25" hidden="1" customHeight="1" x14ac:dyDescent="0.35"/>
    <row r="20" spans="2:11" ht="22" hidden="1" x14ac:dyDescent="0.35">
      <c r="B20" s="174" t="s">
        <v>125</v>
      </c>
      <c r="C20" s="174"/>
      <c r="D20" s="174"/>
      <c r="E20" s="174"/>
      <c r="F20" s="174"/>
      <c r="G20" s="174"/>
      <c r="H20" s="174"/>
    </row>
    <row r="21" spans="2:11" ht="30" hidden="1" customHeight="1" x14ac:dyDescent="0.35">
      <c r="B21" s="67" t="s">
        <v>111</v>
      </c>
      <c r="C21" s="67" t="s">
        <v>111</v>
      </c>
      <c r="D21" s="67" t="s">
        <v>107</v>
      </c>
      <c r="E21" s="67" t="s">
        <v>108</v>
      </c>
      <c r="F21" s="74" t="s">
        <v>119</v>
      </c>
      <c r="G21" s="74" t="s">
        <v>109</v>
      </c>
      <c r="H21" s="74" t="s">
        <v>110</v>
      </c>
    </row>
    <row r="22" spans="2:11" ht="30" hidden="1" customHeight="1" x14ac:dyDescent="0.35">
      <c r="B22" s="68">
        <v>1</v>
      </c>
      <c r="C22" s="68">
        <v>1</v>
      </c>
      <c r="D22" s="69" t="s">
        <v>120</v>
      </c>
      <c r="E22" s="68">
        <v>1</v>
      </c>
      <c r="F22" s="70" t="e">
        <f>#REF!</f>
        <v>#REF!</v>
      </c>
      <c r="G22" s="75" t="e">
        <f>ROUND(E22*F22,2)</f>
        <v>#REF!</v>
      </c>
      <c r="H22" s="75" t="e">
        <f>ROUND(G22*12,2)</f>
        <v>#REF!</v>
      </c>
    </row>
    <row r="23" spans="2:11" ht="20.25" hidden="1" customHeight="1" x14ac:dyDescent="0.35">
      <c r="B23" s="68">
        <f t="shared" ref="B23:C23" si="3">B22+1</f>
        <v>2</v>
      </c>
      <c r="C23" s="68">
        <f t="shared" si="3"/>
        <v>2</v>
      </c>
      <c r="D23" s="69" t="s">
        <v>121</v>
      </c>
      <c r="E23" s="68">
        <v>1</v>
      </c>
      <c r="F23" s="70" t="e">
        <f>F22</f>
        <v>#REF!</v>
      </c>
      <c r="G23" s="75" t="e">
        <f>ROUND(E23*F23,2)</f>
        <v>#REF!</v>
      </c>
      <c r="H23" s="75" t="e">
        <f t="shared" ref="H23" si="4">ROUND(G23*12,2)</f>
        <v>#REF!</v>
      </c>
    </row>
    <row r="24" spans="2:11" ht="20.25" hidden="1" customHeight="1" x14ac:dyDescent="0.35">
      <c r="B24" s="172" t="s">
        <v>112</v>
      </c>
      <c r="C24" s="173"/>
      <c r="D24" s="173"/>
      <c r="E24" s="72">
        <f>SUM(E22:E23)</f>
        <v>2</v>
      </c>
      <c r="F24" s="76"/>
      <c r="G24" s="76" t="e">
        <f>SUM(G22:G23)</f>
        <v>#REF!</v>
      </c>
      <c r="H24" s="71" t="e">
        <f>SUM(H22:H23)</f>
        <v>#REF!</v>
      </c>
    </row>
    <row r="25" spans="2:11" ht="20.25" hidden="1" customHeight="1" x14ac:dyDescent="0.35">
      <c r="B25" s="174" t="s">
        <v>127</v>
      </c>
      <c r="C25" s="174"/>
      <c r="D25" s="174"/>
      <c r="E25" s="174"/>
      <c r="F25" s="174"/>
      <c r="G25" s="174"/>
      <c r="H25" s="174"/>
    </row>
    <row r="26" spans="2:11" ht="30" hidden="1" x14ac:dyDescent="0.35">
      <c r="B26" s="67" t="s">
        <v>1</v>
      </c>
      <c r="C26" s="67" t="s">
        <v>1</v>
      </c>
      <c r="D26" s="67" t="s">
        <v>107</v>
      </c>
      <c r="E26" s="67" t="s">
        <v>108</v>
      </c>
      <c r="F26" s="74" t="s">
        <v>119</v>
      </c>
      <c r="G26" s="74" t="s">
        <v>109</v>
      </c>
      <c r="H26" s="74" t="s">
        <v>128</v>
      </c>
    </row>
    <row r="27" spans="2:11" ht="30" hidden="1" x14ac:dyDescent="0.35">
      <c r="B27" s="68">
        <v>1</v>
      </c>
      <c r="C27" s="68">
        <v>1</v>
      </c>
      <c r="D27" s="69" t="s">
        <v>117</v>
      </c>
      <c r="E27" s="68">
        <v>3</v>
      </c>
      <c r="F27" s="70" t="e">
        <f>#REF!</f>
        <v>#REF!</v>
      </c>
      <c r="G27" s="75" t="e">
        <f>ROUND(E27*F27,2)</f>
        <v>#REF!</v>
      </c>
      <c r="H27" s="75" t="e">
        <f>ROUND(G27*24,2)</f>
        <v>#REF!</v>
      </c>
    </row>
    <row r="28" spans="2:11" ht="30" hidden="1" x14ac:dyDescent="0.35">
      <c r="B28" s="68">
        <f t="shared" ref="B28:C28" si="5">B27+1</f>
        <v>2</v>
      </c>
      <c r="C28" s="68">
        <f t="shared" si="5"/>
        <v>2</v>
      </c>
      <c r="D28" s="69" t="s">
        <v>118</v>
      </c>
      <c r="E28" s="68">
        <v>2</v>
      </c>
      <c r="F28" s="70" t="e">
        <f>#REF!</f>
        <v>#REF!</v>
      </c>
      <c r="G28" s="75" t="e">
        <f>ROUND(E28*F28,2)</f>
        <v>#REF!</v>
      </c>
      <c r="H28" s="75" t="e">
        <f>ROUND(G28*24,2)</f>
        <v>#REF!</v>
      </c>
    </row>
    <row r="29" spans="2:11" ht="20.25" hidden="1" customHeight="1" x14ac:dyDescent="0.35">
      <c r="B29" s="172" t="s">
        <v>112</v>
      </c>
      <c r="C29" s="173"/>
      <c r="D29" s="173"/>
      <c r="E29" s="72">
        <f>SUM(E27:E28)</f>
        <v>5</v>
      </c>
      <c r="F29" s="76"/>
      <c r="G29" s="76" t="e">
        <f>SUM(G27:G28)</f>
        <v>#REF!</v>
      </c>
      <c r="H29" s="71" t="e">
        <f>SUM(H27:H28)</f>
        <v>#REF!</v>
      </c>
    </row>
    <row r="30" spans="2:11" ht="20.25" hidden="1" customHeight="1" x14ac:dyDescent="0.35"/>
    <row r="33" spans="2:11" ht="31" x14ac:dyDescent="0.35">
      <c r="B33" s="166" t="s">
        <v>205</v>
      </c>
      <c r="C33" s="167"/>
      <c r="D33" s="168"/>
      <c r="E33" s="144" t="s">
        <v>206</v>
      </c>
      <c r="F33" s="144" t="s">
        <v>207</v>
      </c>
      <c r="G33" s="144" t="s">
        <v>208</v>
      </c>
      <c r="H33" s="144" t="s">
        <v>209</v>
      </c>
    </row>
    <row r="34" spans="2:11" ht="20.25" customHeight="1" x14ac:dyDescent="0.35">
      <c r="B34" s="162">
        <v>2024</v>
      </c>
      <c r="C34" s="163"/>
      <c r="D34" s="163"/>
      <c r="E34" s="134">
        <f>E7</f>
        <v>2</v>
      </c>
      <c r="F34" s="133">
        <v>26283.239999999998</v>
      </c>
      <c r="G34" s="133">
        <v>315398.88</v>
      </c>
      <c r="H34" s="160">
        <f ca="1">G35/G34-1</f>
        <v>4.8790027409101766E-2</v>
      </c>
    </row>
    <row r="35" spans="2:11" ht="20.25" customHeight="1" thickBot="1" x14ac:dyDescent="0.4">
      <c r="B35" s="164">
        <v>2025</v>
      </c>
      <c r="C35" s="165"/>
      <c r="D35" s="165"/>
      <c r="E35" s="135">
        <f>E7</f>
        <v>2</v>
      </c>
      <c r="F35" s="136">
        <f ca="1">G7</f>
        <v>27565.599999999999</v>
      </c>
      <c r="G35" s="136">
        <f ca="1">H7</f>
        <v>330787.20000000001</v>
      </c>
      <c r="H35" s="161"/>
    </row>
    <row r="36" spans="2:11" ht="20.25" customHeight="1" x14ac:dyDescent="0.35">
      <c r="F36" s="97"/>
    </row>
    <row r="37" spans="2:11" ht="20.25" customHeight="1" thickBot="1" x14ac:dyDescent="0.4">
      <c r="F37" s="97"/>
    </row>
    <row r="38" spans="2:11" s="132" customFormat="1" ht="20.25" customHeight="1" thickBot="1" x14ac:dyDescent="0.35">
      <c r="B38" s="153" t="s">
        <v>195</v>
      </c>
      <c r="C38" s="154"/>
      <c r="D38" s="154"/>
      <c r="E38" s="154"/>
      <c r="F38" s="154"/>
      <c r="G38" s="154"/>
      <c r="H38" s="155"/>
      <c r="I38" s="131"/>
      <c r="J38" s="131"/>
      <c r="K38" s="131"/>
    </row>
    <row r="39" spans="2:11" ht="14.5" x14ac:dyDescent="0.35">
      <c r="B39" s="122"/>
      <c r="F39" s="123"/>
      <c r="G39" s="123"/>
      <c r="H39" s="124"/>
    </row>
    <row r="40" spans="2:11" ht="30" x14ac:dyDescent="0.35">
      <c r="B40" s="125" t="s">
        <v>189</v>
      </c>
      <c r="C40" s="67" t="s">
        <v>1</v>
      </c>
      <c r="D40" s="67" t="s">
        <v>190</v>
      </c>
      <c r="E40" s="67" t="s">
        <v>191</v>
      </c>
      <c r="F40" s="74" t="s">
        <v>192</v>
      </c>
      <c r="G40" s="74" t="s">
        <v>193</v>
      </c>
      <c r="H40" s="126" t="s">
        <v>194</v>
      </c>
    </row>
    <row r="41" spans="2:11" ht="20.25" customHeight="1" x14ac:dyDescent="0.35">
      <c r="B41" s="156">
        <v>1</v>
      </c>
      <c r="C41" s="68">
        <v>1</v>
      </c>
      <c r="D41" s="69" t="s">
        <v>185</v>
      </c>
      <c r="E41" s="68">
        <v>1</v>
      </c>
      <c r="F41" s="70">
        <f ca="1">F5</f>
        <v>12489.74</v>
      </c>
      <c r="G41" s="75">
        <f ca="1">ROUND(E41*F41,2)</f>
        <v>12489.74</v>
      </c>
      <c r="H41" s="127">
        <f ca="1">ROUND(G41*12,2)</f>
        <v>149876.88</v>
      </c>
    </row>
    <row r="42" spans="2:11" ht="20.25" customHeight="1" x14ac:dyDescent="0.35">
      <c r="B42" s="157"/>
      <c r="C42" s="68">
        <v>2</v>
      </c>
      <c r="D42" s="69" t="s">
        <v>186</v>
      </c>
      <c r="E42" s="68">
        <v>1</v>
      </c>
      <c r="F42" s="70">
        <f ca="1">F6</f>
        <v>15075.86</v>
      </c>
      <c r="G42" s="75">
        <f ca="1">ROUND(E42*F42,2)</f>
        <v>15075.86</v>
      </c>
      <c r="H42" s="127">
        <f ca="1">ROUND(G42*12,2)</f>
        <v>180910.32</v>
      </c>
    </row>
    <row r="43" spans="2:11" ht="20.25" customHeight="1" thickBot="1" x14ac:dyDescent="0.4">
      <c r="B43" s="158" t="s">
        <v>112</v>
      </c>
      <c r="C43" s="159"/>
      <c r="D43" s="159"/>
      <c r="E43" s="128">
        <f>SUM(E41:E42)</f>
        <v>2</v>
      </c>
      <c r="F43" s="129"/>
      <c r="G43" s="129">
        <f ca="1">SUM(G41:G42)</f>
        <v>27565.599999999999</v>
      </c>
      <c r="H43" s="130">
        <f ca="1">SUM(H41:H42)</f>
        <v>330787.20000000001</v>
      </c>
    </row>
    <row r="44" spans="2:11" ht="11.25" customHeight="1" x14ac:dyDescent="0.35">
      <c r="B44" s="152"/>
      <c r="C44" s="152"/>
      <c r="D44" s="152"/>
      <c r="E44" s="152"/>
      <c r="F44" s="152"/>
      <c r="G44" s="152"/>
      <c r="H44" s="152"/>
    </row>
  </sheetData>
  <mergeCells count="19">
    <mergeCell ref="B33:D33"/>
    <mergeCell ref="B2:H2"/>
    <mergeCell ref="B24:D24"/>
    <mergeCell ref="B29:D29"/>
    <mergeCell ref="B13:D13"/>
    <mergeCell ref="B25:H25"/>
    <mergeCell ref="B14:H14"/>
    <mergeCell ref="B9:H9"/>
    <mergeCell ref="B20:H20"/>
    <mergeCell ref="B7:D7"/>
    <mergeCell ref="B18:D18"/>
    <mergeCell ref="B5:B6"/>
    <mergeCell ref="B44:H44"/>
    <mergeCell ref="B38:H38"/>
    <mergeCell ref="B41:B42"/>
    <mergeCell ref="B43:D43"/>
    <mergeCell ref="H34:H35"/>
    <mergeCell ref="B34:D34"/>
    <mergeCell ref="B35:D35"/>
  </mergeCells>
  <pageMargins left="0.51181102362204722" right="0.51181102362204722" top="1.3779527559055118" bottom="0.78740157480314965" header="0.31496062992125984" footer="0.31496062992125984"/>
  <pageSetup paperSize="9" scale="82" orientation="portrait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8CF4D-80C3-49FE-8097-D8B500569705}">
  <dimension ref="A1:M138"/>
  <sheetViews>
    <sheetView showGridLines="0" topLeftCell="A89" zoomScale="130" zoomScaleNormal="130" zoomScaleSheetLayoutView="120" workbookViewId="0">
      <selection activeCell="C109" sqref="C109:D109"/>
    </sheetView>
  </sheetViews>
  <sheetFormatPr defaultColWidth="9.1796875" defaultRowHeight="11.5" x14ac:dyDescent="0.35"/>
  <cols>
    <col min="1" max="1" width="3.1796875" style="1" customWidth="1"/>
    <col min="2" max="2" width="6" style="2" customWidth="1"/>
    <col min="3" max="3" width="71.7265625" style="1" customWidth="1"/>
    <col min="4" max="4" width="17" style="1" customWidth="1"/>
    <col min="5" max="5" width="14.81640625" style="1" bestFit="1" customWidth="1"/>
    <col min="6" max="6" width="14.453125" style="2" hidden="1" customWidth="1"/>
    <col min="7" max="7" width="13.453125" style="2" hidden="1" customWidth="1"/>
    <col min="8" max="8" width="10.1796875" style="1" bestFit="1" customWidth="1"/>
    <col min="9" max="16384" width="9.1796875" style="1"/>
  </cols>
  <sheetData>
    <row r="1" spans="2:5" x14ac:dyDescent="0.35">
      <c r="B1" s="179" t="s">
        <v>98</v>
      </c>
      <c r="C1" s="180"/>
      <c r="D1" s="180"/>
      <c r="E1" s="181"/>
    </row>
    <row r="2" spans="2:5" ht="15.5" x14ac:dyDescent="0.35">
      <c r="B2" s="182" t="s">
        <v>174</v>
      </c>
      <c r="C2" s="183"/>
      <c r="D2" s="183"/>
      <c r="E2" s="184"/>
    </row>
    <row r="3" spans="2:5" ht="15" customHeight="1" x14ac:dyDescent="0.35">
      <c r="B3" s="185" t="s">
        <v>74</v>
      </c>
      <c r="C3" s="185"/>
      <c r="D3" s="185"/>
      <c r="E3" s="185"/>
    </row>
    <row r="4" spans="2:5" x14ac:dyDescent="0.35">
      <c r="B4" s="35" t="s">
        <v>2</v>
      </c>
      <c r="C4" s="178" t="s">
        <v>202</v>
      </c>
      <c r="D4" s="178"/>
      <c r="E4" s="37">
        <v>45754</v>
      </c>
    </row>
    <row r="5" spans="2:5" x14ac:dyDescent="0.35">
      <c r="B5" s="35" t="s">
        <v>3</v>
      </c>
      <c r="C5" s="178" t="s">
        <v>76</v>
      </c>
      <c r="D5" s="178"/>
      <c r="E5" s="37" t="s">
        <v>181</v>
      </c>
    </row>
    <row r="6" spans="2:5" x14ac:dyDescent="0.35">
      <c r="B6" s="35" t="s">
        <v>4</v>
      </c>
      <c r="C6" s="186" t="s">
        <v>197</v>
      </c>
      <c r="D6" s="187"/>
      <c r="E6" s="37" t="s">
        <v>198</v>
      </c>
    </row>
    <row r="7" spans="2:5" x14ac:dyDescent="0.35">
      <c r="B7" s="35" t="s">
        <v>5</v>
      </c>
      <c r="C7" s="178" t="s">
        <v>77</v>
      </c>
      <c r="D7" s="178"/>
      <c r="E7" s="38" t="s">
        <v>203</v>
      </c>
    </row>
    <row r="8" spans="2:5" x14ac:dyDescent="0.35">
      <c r="B8" s="35" t="s">
        <v>6</v>
      </c>
      <c r="C8" s="178" t="s">
        <v>78</v>
      </c>
      <c r="D8" s="178"/>
      <c r="E8" s="38">
        <v>12</v>
      </c>
    </row>
    <row r="9" spans="2:5" x14ac:dyDescent="0.35">
      <c r="B9" s="185" t="s">
        <v>79</v>
      </c>
      <c r="C9" s="185"/>
      <c r="D9" s="185"/>
      <c r="E9" s="185"/>
    </row>
    <row r="10" spans="2:5" ht="23" x14ac:dyDescent="0.35">
      <c r="B10" s="35">
        <v>1</v>
      </c>
      <c r="C10" s="178" t="s">
        <v>80</v>
      </c>
      <c r="D10" s="178"/>
      <c r="E10" s="83" t="s">
        <v>130</v>
      </c>
    </row>
    <row r="11" spans="2:5" x14ac:dyDescent="0.35">
      <c r="B11" s="35">
        <v>2</v>
      </c>
      <c r="C11" s="178" t="s">
        <v>81</v>
      </c>
      <c r="D11" s="178"/>
      <c r="E11" s="63" t="s">
        <v>182</v>
      </c>
    </row>
    <row r="12" spans="2:5" x14ac:dyDescent="0.35">
      <c r="B12" s="138">
        <v>3</v>
      </c>
      <c r="C12" s="189" t="s">
        <v>82</v>
      </c>
      <c r="D12" s="189"/>
      <c r="E12" s="137">
        <v>2148.2199999999998</v>
      </c>
    </row>
    <row r="13" spans="2:5" x14ac:dyDescent="0.35">
      <c r="B13" s="35">
        <v>4</v>
      </c>
      <c r="C13" s="178" t="s">
        <v>83</v>
      </c>
      <c r="D13" s="178"/>
      <c r="E13" s="64" t="s">
        <v>129</v>
      </c>
    </row>
    <row r="14" spans="2:5" x14ac:dyDescent="0.35">
      <c r="B14" s="35">
        <v>5</v>
      </c>
      <c r="C14" s="178" t="s">
        <v>122</v>
      </c>
      <c r="D14" s="178"/>
      <c r="E14" s="139" t="s">
        <v>204</v>
      </c>
    </row>
    <row r="15" spans="2:5" x14ac:dyDescent="0.35">
      <c r="B15" s="35">
        <v>6</v>
      </c>
      <c r="C15" s="51" t="s">
        <v>100</v>
      </c>
      <c r="D15" s="52"/>
      <c r="E15" s="65">
        <v>15</v>
      </c>
    </row>
    <row r="16" spans="2:5" x14ac:dyDescent="0.35">
      <c r="B16" s="190" t="s">
        <v>17</v>
      </c>
      <c r="C16" s="190"/>
      <c r="D16" s="190"/>
      <c r="E16" s="190"/>
    </row>
    <row r="18" spans="1:7" x14ac:dyDescent="0.35">
      <c r="B18" s="33">
        <v>1</v>
      </c>
      <c r="C18" s="33" t="s">
        <v>18</v>
      </c>
      <c r="D18" s="33" t="s">
        <v>19</v>
      </c>
      <c r="E18" s="33" t="s">
        <v>19</v>
      </c>
    </row>
    <row r="19" spans="1:7" x14ac:dyDescent="0.35">
      <c r="B19" s="18" t="s">
        <v>2</v>
      </c>
      <c r="C19" s="16" t="s">
        <v>20</v>
      </c>
      <c r="D19" s="19">
        <v>1</v>
      </c>
      <c r="E19" s="140">
        <f>E12</f>
        <v>2148.2199999999998</v>
      </c>
    </row>
    <row r="20" spans="1:7" x14ac:dyDescent="0.35">
      <c r="B20" s="18" t="s">
        <v>3</v>
      </c>
      <c r="C20" s="16" t="s">
        <v>123</v>
      </c>
      <c r="D20" s="19">
        <v>0.3</v>
      </c>
      <c r="E20" s="20">
        <f>ROUND(E19*D20,2)</f>
        <v>644.47</v>
      </c>
    </row>
    <row r="21" spans="1:7" s="44" customFormat="1" hidden="1" x14ac:dyDescent="0.35">
      <c r="B21" s="61" t="s">
        <v>4</v>
      </c>
      <c r="C21" s="62" t="s">
        <v>51</v>
      </c>
      <c r="D21" s="66"/>
      <c r="E21" s="24"/>
      <c r="F21" s="47"/>
      <c r="G21" s="47"/>
    </row>
    <row r="22" spans="1:7" x14ac:dyDescent="0.35">
      <c r="B22" s="188" t="s">
        <v>21</v>
      </c>
      <c r="C22" s="188"/>
      <c r="D22" s="188"/>
      <c r="E22" s="41">
        <f>SUM(E19:E21)</f>
        <v>2792.6899999999996</v>
      </c>
    </row>
    <row r="24" spans="1:7" ht="14.15" customHeight="1" x14ac:dyDescent="0.35">
      <c r="A24" s="6" t="s">
        <v>70</v>
      </c>
      <c r="B24" s="190" t="s">
        <v>22</v>
      </c>
      <c r="C24" s="190"/>
      <c r="D24" s="190"/>
      <c r="E24" s="190"/>
    </row>
    <row r="25" spans="1:7" x14ac:dyDescent="0.35">
      <c r="B25" s="36"/>
    </row>
    <row r="26" spans="1:7" x14ac:dyDescent="0.35">
      <c r="B26" s="191" t="s">
        <v>93</v>
      </c>
      <c r="C26" s="191"/>
      <c r="D26" s="191"/>
      <c r="E26" s="191"/>
    </row>
    <row r="28" spans="1:7" x14ac:dyDescent="0.35">
      <c r="B28" s="33" t="s">
        <v>23</v>
      </c>
      <c r="C28" s="33" t="s">
        <v>96</v>
      </c>
      <c r="D28" s="33" t="s">
        <v>24</v>
      </c>
      <c r="E28" s="33" t="s">
        <v>19</v>
      </c>
    </row>
    <row r="29" spans="1:7" x14ac:dyDescent="0.35">
      <c r="B29" s="18" t="s">
        <v>2</v>
      </c>
      <c r="C29" s="16" t="s">
        <v>25</v>
      </c>
      <c r="D29" s="19">
        <v>8.3299999999999999E-2</v>
      </c>
      <c r="E29" s="20">
        <f>ROUND($E$22*D29,4)</f>
        <v>232.6311</v>
      </c>
    </row>
    <row r="30" spans="1:7" x14ac:dyDescent="0.35">
      <c r="B30" s="18" t="s">
        <v>3</v>
      </c>
      <c r="C30" s="16" t="s">
        <v>106</v>
      </c>
      <c r="D30" s="19">
        <v>0.121</v>
      </c>
      <c r="E30" s="20">
        <f t="shared" ref="E30" si="0">ROUND($E$22*D30,4)</f>
        <v>337.91550000000001</v>
      </c>
    </row>
    <row r="31" spans="1:7" x14ac:dyDescent="0.35">
      <c r="B31" s="18" t="s">
        <v>4</v>
      </c>
      <c r="C31" s="16" t="s">
        <v>84</v>
      </c>
      <c r="D31" s="19">
        <f>ROUND((D29+D30)*D45,4)</f>
        <v>7.5200000000000003E-2</v>
      </c>
      <c r="E31" s="20">
        <f>ROUND($E$22*D31,4)</f>
        <v>210.0103</v>
      </c>
    </row>
    <row r="32" spans="1:7" x14ac:dyDescent="0.35">
      <c r="B32" s="188" t="s">
        <v>21</v>
      </c>
      <c r="C32" s="188"/>
      <c r="D32" s="39">
        <f>SUM(D29:D31)</f>
        <v>0.27949999999999997</v>
      </c>
      <c r="E32" s="41">
        <f>SUM(E29:E31)</f>
        <v>780.55690000000004</v>
      </c>
    </row>
    <row r="34" spans="2:7" ht="14.15" customHeight="1" x14ac:dyDescent="0.35">
      <c r="B34" s="192" t="s">
        <v>26</v>
      </c>
      <c r="C34" s="192"/>
      <c r="D34" s="192"/>
      <c r="E34" s="192"/>
    </row>
    <row r="36" spans="2:7" x14ac:dyDescent="0.35">
      <c r="B36" s="33" t="s">
        <v>27</v>
      </c>
      <c r="C36" s="33" t="s">
        <v>28</v>
      </c>
      <c r="D36" s="33" t="s">
        <v>24</v>
      </c>
      <c r="E36" s="33" t="s">
        <v>19</v>
      </c>
    </row>
    <row r="37" spans="2:7" x14ac:dyDescent="0.35">
      <c r="B37" s="18" t="s">
        <v>2</v>
      </c>
      <c r="C37" s="16" t="s">
        <v>10</v>
      </c>
      <c r="D37" s="19">
        <v>0.2</v>
      </c>
      <c r="E37" s="20">
        <f t="shared" ref="E37:E44" si="1">ROUND($E$22*D37,4)</f>
        <v>558.53800000000001</v>
      </c>
    </row>
    <row r="38" spans="2:7" x14ac:dyDescent="0.35">
      <c r="B38" s="18" t="s">
        <v>3</v>
      </c>
      <c r="C38" s="16" t="s">
        <v>29</v>
      </c>
      <c r="D38" s="19">
        <v>2.5000000000000001E-2</v>
      </c>
      <c r="E38" s="20">
        <f t="shared" si="1"/>
        <v>69.817300000000003</v>
      </c>
    </row>
    <row r="39" spans="2:7" x14ac:dyDescent="0.35">
      <c r="B39" s="18" t="s">
        <v>4</v>
      </c>
      <c r="C39" s="16" t="s">
        <v>173</v>
      </c>
      <c r="D39" s="21">
        <f>3*1%</f>
        <v>0.03</v>
      </c>
      <c r="E39" s="20">
        <f t="shared" si="1"/>
        <v>83.780699999999996</v>
      </c>
    </row>
    <row r="40" spans="2:7" x14ac:dyDescent="0.35">
      <c r="B40" s="18" t="s">
        <v>5</v>
      </c>
      <c r="C40" s="16" t="s">
        <v>94</v>
      </c>
      <c r="D40" s="19">
        <v>1.4999999999999999E-2</v>
      </c>
      <c r="E40" s="20">
        <f t="shared" si="1"/>
        <v>41.8904</v>
      </c>
    </row>
    <row r="41" spans="2:7" x14ac:dyDescent="0.35">
      <c r="B41" s="18" t="s">
        <v>6</v>
      </c>
      <c r="C41" s="16" t="s">
        <v>95</v>
      </c>
      <c r="D41" s="19">
        <v>0.01</v>
      </c>
      <c r="E41" s="20">
        <f t="shared" si="1"/>
        <v>27.9269</v>
      </c>
    </row>
    <row r="42" spans="2:7" x14ac:dyDescent="0.35">
      <c r="B42" s="18" t="s">
        <v>7</v>
      </c>
      <c r="C42" s="16" t="s">
        <v>13</v>
      </c>
      <c r="D42" s="19">
        <v>6.0000000000000001E-3</v>
      </c>
      <c r="E42" s="20">
        <f t="shared" si="1"/>
        <v>16.7561</v>
      </c>
    </row>
    <row r="43" spans="2:7" x14ac:dyDescent="0.35">
      <c r="B43" s="18" t="s">
        <v>8</v>
      </c>
      <c r="C43" s="16" t="s">
        <v>11</v>
      </c>
      <c r="D43" s="19">
        <v>2E-3</v>
      </c>
      <c r="E43" s="20">
        <f t="shared" si="1"/>
        <v>5.5853999999999999</v>
      </c>
    </row>
    <row r="44" spans="2:7" x14ac:dyDescent="0.35">
      <c r="B44" s="18" t="s">
        <v>9</v>
      </c>
      <c r="C44" s="16" t="s">
        <v>12</v>
      </c>
      <c r="D44" s="19">
        <v>0.08</v>
      </c>
      <c r="E44" s="20">
        <f t="shared" si="1"/>
        <v>223.4152</v>
      </c>
    </row>
    <row r="45" spans="2:7" x14ac:dyDescent="0.35">
      <c r="B45" s="188" t="s">
        <v>30</v>
      </c>
      <c r="C45" s="188"/>
      <c r="D45" s="39">
        <f>SUM(D37:D44)</f>
        <v>0.36800000000000005</v>
      </c>
      <c r="E45" s="40">
        <f>SUM(E37:E44)</f>
        <v>1027.71</v>
      </c>
      <c r="G45" s="5"/>
    </row>
    <row r="47" spans="2:7" ht="14.15" customHeight="1" x14ac:dyDescent="0.35">
      <c r="B47" s="191" t="s">
        <v>31</v>
      </c>
      <c r="C47" s="191"/>
      <c r="D47" s="191"/>
      <c r="E47" s="191"/>
    </row>
    <row r="49" spans="1:13" x14ac:dyDescent="0.35">
      <c r="B49" s="33" t="s">
        <v>32</v>
      </c>
      <c r="C49" s="33" t="s">
        <v>33</v>
      </c>
      <c r="D49" s="41" t="s">
        <v>34</v>
      </c>
      <c r="E49" s="41" t="s">
        <v>19</v>
      </c>
    </row>
    <row r="50" spans="1:13" s="2" customFormat="1" x14ac:dyDescent="0.35">
      <c r="A50" s="1"/>
      <c r="B50" s="18" t="s">
        <v>2</v>
      </c>
      <c r="C50" s="23" t="s">
        <v>132</v>
      </c>
      <c r="D50" s="20">
        <v>4.83</v>
      </c>
      <c r="E50" s="78">
        <f>((D50*2)*E15)-((E19/2)*6%)</f>
        <v>80.453400000000016</v>
      </c>
      <c r="H50" s="50"/>
      <c r="I50" s="1"/>
      <c r="J50" s="1"/>
      <c r="K50" s="1"/>
      <c r="L50" s="1"/>
      <c r="M50" s="1"/>
    </row>
    <row r="51" spans="1:13" s="36" customFormat="1" x14ac:dyDescent="0.35">
      <c r="A51" s="141"/>
      <c r="B51" s="17" t="s">
        <v>3</v>
      </c>
      <c r="C51" s="142" t="s">
        <v>133</v>
      </c>
      <c r="D51" s="140">
        <v>39</v>
      </c>
      <c r="E51" s="140">
        <f>((D51-(D51*18%))*E15)</f>
        <v>479.7</v>
      </c>
      <c r="F51" s="143"/>
      <c r="H51" s="55"/>
      <c r="I51" s="141"/>
      <c r="J51" s="141"/>
      <c r="K51" s="141"/>
      <c r="L51" s="141"/>
      <c r="M51" s="141"/>
    </row>
    <row r="52" spans="1:13" s="2" customFormat="1" x14ac:dyDescent="0.35">
      <c r="A52" s="1"/>
      <c r="B52" s="17" t="s">
        <v>4</v>
      </c>
      <c r="C52" s="142" t="s">
        <v>102</v>
      </c>
      <c r="D52" s="140">
        <f>197.12-(197.12*5%)</f>
        <v>187.26400000000001</v>
      </c>
      <c r="E52" s="140">
        <f>D52</f>
        <v>187.26400000000001</v>
      </c>
      <c r="F52" s="5"/>
      <c r="H52" s="50"/>
      <c r="I52" s="1"/>
      <c r="J52" s="1"/>
      <c r="K52" s="1"/>
      <c r="L52" s="1"/>
      <c r="M52" s="1"/>
    </row>
    <row r="53" spans="1:13" s="36" customFormat="1" x14ac:dyDescent="0.35">
      <c r="A53" s="141"/>
      <c r="B53" s="17" t="s">
        <v>5</v>
      </c>
      <c r="C53" s="142" t="s">
        <v>105</v>
      </c>
      <c r="D53" s="140">
        <v>17.899999999999999</v>
      </c>
      <c r="E53" s="140">
        <f>D53</f>
        <v>17.899999999999999</v>
      </c>
      <c r="H53" s="55"/>
      <c r="I53" s="141"/>
      <c r="J53" s="141"/>
      <c r="K53" s="141"/>
      <c r="L53" s="141"/>
      <c r="M53" s="141"/>
    </row>
    <row r="54" spans="1:13" s="2" customFormat="1" x14ac:dyDescent="0.35">
      <c r="A54" s="1"/>
      <c r="B54" s="17" t="s">
        <v>6</v>
      </c>
      <c r="C54" s="142" t="s">
        <v>134</v>
      </c>
      <c r="D54" s="140">
        <f>197.12-(197.12*5%)</f>
        <v>187.26400000000001</v>
      </c>
      <c r="E54" s="140">
        <f>D54</f>
        <v>187.26400000000001</v>
      </c>
      <c r="H54" s="1"/>
      <c r="I54" s="1"/>
      <c r="J54" s="1"/>
      <c r="K54" s="1"/>
      <c r="L54" s="1"/>
      <c r="M54" s="1"/>
    </row>
    <row r="55" spans="1:13" s="2" customFormat="1" x14ac:dyDescent="0.35">
      <c r="A55" s="1"/>
      <c r="B55" s="188" t="s">
        <v>21</v>
      </c>
      <c r="C55" s="188"/>
      <c r="D55" s="188"/>
      <c r="E55" s="41">
        <f>SUM(E50:E54)</f>
        <v>952.58140000000003</v>
      </c>
      <c r="H55" s="1"/>
      <c r="I55" s="1"/>
      <c r="J55" s="1"/>
      <c r="K55" s="1"/>
      <c r="L55" s="1"/>
      <c r="M55" s="1"/>
    </row>
    <row r="57" spans="1:13" s="2" customFormat="1" ht="14.15" customHeight="1" x14ac:dyDescent="0.35">
      <c r="A57" s="1"/>
      <c r="B57" s="191" t="s">
        <v>35</v>
      </c>
      <c r="C57" s="191"/>
      <c r="D57" s="191"/>
      <c r="E57" s="191"/>
      <c r="H57" s="1"/>
      <c r="I57" s="1"/>
      <c r="J57" s="1"/>
      <c r="K57" s="1"/>
      <c r="L57" s="1"/>
      <c r="M57" s="1"/>
    </row>
    <row r="59" spans="1:13" s="2" customFormat="1" x14ac:dyDescent="0.35">
      <c r="A59" s="1"/>
      <c r="B59" s="33">
        <v>2</v>
      </c>
      <c r="C59" s="188" t="s">
        <v>36</v>
      </c>
      <c r="D59" s="188"/>
      <c r="E59" s="33" t="s">
        <v>19</v>
      </c>
      <c r="H59" s="1"/>
      <c r="I59" s="1"/>
      <c r="J59" s="1"/>
      <c r="K59" s="1"/>
      <c r="L59" s="1"/>
      <c r="M59" s="1"/>
    </row>
    <row r="60" spans="1:13" s="2" customFormat="1" x14ac:dyDescent="0.35">
      <c r="A60" s="1"/>
      <c r="B60" s="18" t="s">
        <v>23</v>
      </c>
      <c r="C60" s="193" t="s">
        <v>96</v>
      </c>
      <c r="D60" s="193"/>
      <c r="E60" s="25">
        <f>E32</f>
        <v>780.55690000000004</v>
      </c>
      <c r="H60" s="1"/>
      <c r="I60" s="1"/>
      <c r="J60" s="1"/>
      <c r="K60" s="1"/>
      <c r="L60" s="1"/>
      <c r="M60" s="1"/>
    </row>
    <row r="61" spans="1:13" s="2" customFormat="1" x14ac:dyDescent="0.35">
      <c r="A61" s="1"/>
      <c r="B61" s="18" t="s">
        <v>27</v>
      </c>
      <c r="C61" s="193" t="s">
        <v>28</v>
      </c>
      <c r="D61" s="193"/>
      <c r="E61" s="25">
        <f>E45</f>
        <v>1027.71</v>
      </c>
      <c r="H61" s="1"/>
      <c r="I61" s="1"/>
      <c r="J61" s="1"/>
      <c r="K61" s="1"/>
      <c r="L61" s="1"/>
      <c r="M61" s="1"/>
    </row>
    <row r="62" spans="1:13" s="2" customFormat="1" x14ac:dyDescent="0.35">
      <c r="A62" s="1"/>
      <c r="B62" s="18" t="s">
        <v>32</v>
      </c>
      <c r="C62" s="193" t="s">
        <v>33</v>
      </c>
      <c r="D62" s="193"/>
      <c r="E62" s="25">
        <f>E55</f>
        <v>952.58140000000003</v>
      </c>
      <c r="H62" s="1"/>
      <c r="I62" s="1"/>
      <c r="J62" s="1"/>
      <c r="K62" s="1"/>
      <c r="L62" s="1"/>
      <c r="M62" s="1"/>
    </row>
    <row r="63" spans="1:13" s="2" customFormat="1" x14ac:dyDescent="0.35">
      <c r="A63" s="1"/>
      <c r="B63" s="194" t="s">
        <v>21</v>
      </c>
      <c r="C63" s="194"/>
      <c r="D63" s="194"/>
      <c r="E63" s="22">
        <f>SUM(E60:E62)</f>
        <v>2760.8483000000001</v>
      </c>
      <c r="H63" s="1"/>
      <c r="I63" s="1"/>
      <c r="J63" s="1"/>
      <c r="K63" s="1"/>
      <c r="L63" s="1"/>
      <c r="M63" s="1"/>
    </row>
    <row r="65" spans="1:13" s="2" customFormat="1" ht="14.15" customHeight="1" x14ac:dyDescent="0.35">
      <c r="A65" s="1"/>
      <c r="B65" s="195" t="s">
        <v>37</v>
      </c>
      <c r="C65" s="195"/>
      <c r="D65" s="195"/>
      <c r="E65" s="195"/>
      <c r="H65" s="1"/>
      <c r="I65" s="1"/>
      <c r="J65" s="1"/>
      <c r="K65" s="1"/>
      <c r="L65" s="1"/>
      <c r="M65" s="1"/>
    </row>
    <row r="67" spans="1:13" s="2" customFormat="1" x14ac:dyDescent="0.35">
      <c r="A67" s="1"/>
      <c r="B67" s="33">
        <v>3</v>
      </c>
      <c r="C67" s="33" t="s">
        <v>38</v>
      </c>
      <c r="D67" s="33" t="s">
        <v>24</v>
      </c>
      <c r="E67" s="33" t="s">
        <v>19</v>
      </c>
      <c r="H67" s="1"/>
      <c r="I67" s="1"/>
      <c r="J67" s="1"/>
      <c r="K67" s="1"/>
      <c r="L67" s="1"/>
      <c r="M67" s="1"/>
    </row>
    <row r="68" spans="1:13" s="2" customFormat="1" x14ac:dyDescent="0.35">
      <c r="A68" s="1"/>
      <c r="B68" s="18" t="s">
        <v>2</v>
      </c>
      <c r="C68" s="26" t="s">
        <v>39</v>
      </c>
      <c r="D68" s="27">
        <v>5.4999999999999997E-3</v>
      </c>
      <c r="E68" s="20">
        <f t="shared" ref="E68:E74" si="2">ROUND($E$22*D68,4)</f>
        <v>15.3598</v>
      </c>
      <c r="H68" s="1"/>
      <c r="I68" s="1"/>
      <c r="J68" s="1"/>
      <c r="K68" s="1"/>
      <c r="L68" s="1"/>
      <c r="M68" s="1"/>
    </row>
    <row r="69" spans="1:13" s="2" customFormat="1" x14ac:dyDescent="0.35">
      <c r="A69" s="1"/>
      <c r="B69" s="18" t="s">
        <v>3</v>
      </c>
      <c r="C69" s="26" t="s">
        <v>40</v>
      </c>
      <c r="D69" s="27">
        <v>4.0000000000000002E-4</v>
      </c>
      <c r="E69" s="20">
        <f t="shared" si="2"/>
        <v>1.1171</v>
      </c>
      <c r="H69" s="1"/>
      <c r="I69" s="1"/>
      <c r="J69" s="1"/>
      <c r="K69" s="1"/>
      <c r="L69" s="1"/>
      <c r="M69" s="1"/>
    </row>
    <row r="70" spans="1:13" s="2" customFormat="1" x14ac:dyDescent="0.35">
      <c r="A70" s="1"/>
      <c r="B70" s="18" t="s">
        <v>4</v>
      </c>
      <c r="C70" s="26" t="s">
        <v>41</v>
      </c>
      <c r="D70" s="27">
        <v>2.0000000000000001E-4</v>
      </c>
      <c r="E70" s="20">
        <f t="shared" si="2"/>
        <v>0.5585</v>
      </c>
      <c r="H70" s="1"/>
      <c r="I70" s="1"/>
      <c r="J70" s="1"/>
      <c r="K70" s="1"/>
      <c r="L70" s="1"/>
      <c r="M70" s="1"/>
    </row>
    <row r="71" spans="1:13" s="2" customFormat="1" x14ac:dyDescent="0.35">
      <c r="A71" s="1"/>
      <c r="B71" s="18" t="s">
        <v>5</v>
      </c>
      <c r="C71" s="26" t="s">
        <v>15</v>
      </c>
      <c r="D71" s="27">
        <v>1.7500000000000002E-2</v>
      </c>
      <c r="E71" s="20">
        <f t="shared" si="2"/>
        <v>48.872100000000003</v>
      </c>
      <c r="F71" s="5"/>
      <c r="G71" s="5"/>
      <c r="H71" s="1"/>
      <c r="I71" s="1"/>
      <c r="J71" s="1"/>
      <c r="K71" s="1"/>
      <c r="L71" s="1"/>
      <c r="M71" s="1"/>
    </row>
    <row r="72" spans="1:13" s="2" customFormat="1" x14ac:dyDescent="0.35">
      <c r="A72" s="1"/>
      <c r="B72" s="18" t="s">
        <v>6</v>
      </c>
      <c r="C72" s="26" t="s">
        <v>42</v>
      </c>
      <c r="D72" s="27">
        <v>6.6E-3</v>
      </c>
      <c r="E72" s="20">
        <f t="shared" si="2"/>
        <v>18.431799999999999</v>
      </c>
      <c r="H72" s="1"/>
      <c r="I72" s="1"/>
      <c r="J72" s="1"/>
      <c r="K72" s="1"/>
      <c r="L72" s="1"/>
      <c r="M72" s="1"/>
    </row>
    <row r="73" spans="1:13" s="2" customFormat="1" x14ac:dyDescent="0.35">
      <c r="A73" s="1"/>
      <c r="B73" s="18" t="s">
        <v>7</v>
      </c>
      <c r="C73" s="26" t="s">
        <v>43</v>
      </c>
      <c r="D73" s="27">
        <v>5.9999999999999995E-4</v>
      </c>
      <c r="E73" s="20">
        <f t="shared" si="2"/>
        <v>1.6756</v>
      </c>
      <c r="F73" s="8"/>
      <c r="H73" s="1"/>
      <c r="I73" s="1"/>
      <c r="J73" s="1"/>
      <c r="K73" s="1"/>
      <c r="L73" s="1"/>
      <c r="M73" s="1"/>
    </row>
    <row r="74" spans="1:13" s="2" customFormat="1" x14ac:dyDescent="0.35">
      <c r="A74" s="1"/>
      <c r="B74" s="18" t="s">
        <v>8</v>
      </c>
      <c r="C74" s="26" t="s">
        <v>85</v>
      </c>
      <c r="D74" s="27">
        <v>3.2000000000000001E-2</v>
      </c>
      <c r="E74" s="20">
        <f t="shared" si="2"/>
        <v>89.366100000000003</v>
      </c>
      <c r="F74" s="8"/>
      <c r="H74" s="1"/>
      <c r="I74" s="1"/>
      <c r="J74" s="1"/>
      <c r="K74" s="1"/>
      <c r="L74" s="1"/>
      <c r="M74" s="1"/>
    </row>
    <row r="75" spans="1:13" s="2" customFormat="1" x14ac:dyDescent="0.35">
      <c r="A75" s="1"/>
      <c r="B75" s="188" t="s">
        <v>21</v>
      </c>
      <c r="C75" s="188"/>
      <c r="D75" s="42">
        <f>SUM(D68:D74)</f>
        <v>6.2800000000000009E-2</v>
      </c>
      <c r="E75" s="40">
        <f>SUM(E68:E74)</f>
        <v>175.381</v>
      </c>
      <c r="H75" s="1"/>
      <c r="I75" s="1"/>
      <c r="J75" s="1"/>
      <c r="K75" s="1"/>
      <c r="L75" s="1"/>
      <c r="M75" s="1"/>
    </row>
    <row r="77" spans="1:13" s="2" customFormat="1" x14ac:dyDescent="0.35">
      <c r="A77" s="1"/>
      <c r="B77" s="195" t="s">
        <v>44</v>
      </c>
      <c r="C77" s="195"/>
      <c r="D77" s="195"/>
      <c r="E77" s="195"/>
      <c r="H77" s="1"/>
      <c r="I77" s="1"/>
      <c r="J77" s="1"/>
      <c r="K77" s="1"/>
      <c r="L77" s="1"/>
      <c r="M77" s="1"/>
    </row>
    <row r="79" spans="1:13" s="2" customFormat="1" x14ac:dyDescent="0.35">
      <c r="A79" s="1"/>
      <c r="B79" s="191" t="s">
        <v>45</v>
      </c>
      <c r="C79" s="191"/>
      <c r="D79" s="191"/>
      <c r="E79" s="191"/>
      <c r="H79" s="1"/>
      <c r="I79" s="1"/>
      <c r="J79" s="1"/>
      <c r="K79" s="1"/>
      <c r="L79" s="1"/>
      <c r="M79" s="1"/>
    </row>
    <row r="80" spans="1:13" s="2" customFormat="1" x14ac:dyDescent="0.35">
      <c r="A80" s="1"/>
      <c r="B80" s="36"/>
      <c r="C80" s="1"/>
      <c r="D80" s="1"/>
      <c r="E80" s="1"/>
      <c r="H80" s="1"/>
      <c r="I80" s="1"/>
      <c r="J80" s="1"/>
      <c r="K80" s="1"/>
      <c r="L80" s="1"/>
      <c r="M80" s="1"/>
    </row>
    <row r="81" spans="1:13" s="2" customFormat="1" x14ac:dyDescent="0.35">
      <c r="A81" s="1"/>
      <c r="B81" s="33" t="s">
        <v>46</v>
      </c>
      <c r="C81" s="33" t="s">
        <v>47</v>
      </c>
      <c r="D81" s="33" t="s">
        <v>24</v>
      </c>
      <c r="E81" s="33" t="s">
        <v>19</v>
      </c>
      <c r="H81" s="1"/>
      <c r="I81" s="1"/>
      <c r="J81" s="1"/>
      <c r="K81" s="1"/>
      <c r="L81" s="1"/>
      <c r="M81" s="1"/>
    </row>
    <row r="82" spans="1:13" x14ac:dyDescent="0.35">
      <c r="B82" s="18" t="s">
        <v>2</v>
      </c>
      <c r="C82" s="16" t="s">
        <v>86</v>
      </c>
      <c r="D82" s="27">
        <v>1.6199999999999999E-2</v>
      </c>
      <c r="E82" s="20">
        <f t="shared" ref="E82:E87" si="3">ROUND($E$22*D82,4)</f>
        <v>45.241599999999998</v>
      </c>
      <c r="F82" s="4"/>
      <c r="G82" s="5"/>
    </row>
    <row r="83" spans="1:13" x14ac:dyDescent="0.35">
      <c r="B83" s="18" t="s">
        <v>3</v>
      </c>
      <c r="C83" s="16" t="s">
        <v>47</v>
      </c>
      <c r="D83" s="27">
        <v>1E-3</v>
      </c>
      <c r="E83" s="20">
        <f>ROUND($E$22*D83,4)</f>
        <v>2.7927</v>
      </c>
      <c r="F83" s="4"/>
      <c r="G83" s="5"/>
    </row>
    <row r="84" spans="1:13" x14ac:dyDescent="0.35">
      <c r="B84" s="18" t="s">
        <v>4</v>
      </c>
      <c r="C84" s="16" t="s">
        <v>48</v>
      </c>
      <c r="D84" s="27">
        <v>1E-3</v>
      </c>
      <c r="E84" s="20">
        <f t="shared" si="3"/>
        <v>2.7927</v>
      </c>
      <c r="F84" s="9"/>
    </row>
    <row r="85" spans="1:13" x14ac:dyDescent="0.35">
      <c r="B85" s="18" t="s">
        <v>5</v>
      </c>
      <c r="C85" s="16" t="s">
        <v>97</v>
      </c>
      <c r="D85" s="27">
        <v>1E-3</v>
      </c>
      <c r="E85" s="20">
        <f t="shared" si="3"/>
        <v>2.7927</v>
      </c>
      <c r="F85" s="1"/>
      <c r="G85" s="1"/>
    </row>
    <row r="86" spans="1:13" x14ac:dyDescent="0.35">
      <c r="B86" s="18" t="s">
        <v>6</v>
      </c>
      <c r="C86" s="16" t="s">
        <v>72</v>
      </c>
      <c r="D86" s="27">
        <v>1E-3</v>
      </c>
      <c r="E86" s="20">
        <f t="shared" si="3"/>
        <v>2.7927</v>
      </c>
      <c r="F86" s="1"/>
      <c r="G86" s="1"/>
    </row>
    <row r="87" spans="1:13" x14ac:dyDescent="0.35">
      <c r="B87" s="18" t="s">
        <v>7</v>
      </c>
      <c r="C87" s="16" t="s">
        <v>14</v>
      </c>
      <c r="D87" s="27">
        <v>1E-3</v>
      </c>
      <c r="E87" s="20">
        <f t="shared" si="3"/>
        <v>2.7927</v>
      </c>
      <c r="F87" s="1"/>
      <c r="G87" s="1"/>
    </row>
    <row r="88" spans="1:13" x14ac:dyDescent="0.35">
      <c r="B88" s="198" t="s">
        <v>89</v>
      </c>
      <c r="C88" s="199"/>
      <c r="D88" s="28">
        <f>SUM(D82:D87)</f>
        <v>2.1200000000000004E-2</v>
      </c>
      <c r="E88" s="22">
        <f>SUM(E82:E87)</f>
        <v>59.205099999999987</v>
      </c>
      <c r="F88" s="1"/>
      <c r="G88" s="1"/>
    </row>
    <row r="89" spans="1:13" x14ac:dyDescent="0.35">
      <c r="B89" s="18" t="s">
        <v>8</v>
      </c>
      <c r="C89" s="16" t="s">
        <v>88</v>
      </c>
      <c r="D89" s="27">
        <f>ROUND(D88*D32,4)</f>
        <v>5.8999999999999999E-3</v>
      </c>
      <c r="E89" s="20">
        <f>ROUND($E$22*D89,4)</f>
        <v>16.476900000000001</v>
      </c>
      <c r="F89" s="46"/>
      <c r="G89" s="44"/>
    </row>
    <row r="90" spans="1:13" x14ac:dyDescent="0.35">
      <c r="B90" s="18" t="s">
        <v>9</v>
      </c>
      <c r="C90" s="16" t="s">
        <v>90</v>
      </c>
      <c r="D90" s="27">
        <f>ROUND(D88*D45,4)</f>
        <v>7.7999999999999996E-3</v>
      </c>
      <c r="E90" s="20">
        <f>ROUND($E$22*D90,4)</f>
        <v>21.783000000000001</v>
      </c>
      <c r="F90" s="47"/>
      <c r="G90" s="44"/>
    </row>
    <row r="91" spans="1:13" x14ac:dyDescent="0.35">
      <c r="B91" s="18" t="s">
        <v>87</v>
      </c>
      <c r="C91" s="16" t="s">
        <v>91</v>
      </c>
      <c r="D91" s="27">
        <f>ROUND(D88*D74,4)</f>
        <v>6.9999999999999999E-4</v>
      </c>
      <c r="E91" s="20">
        <f>ROUND($E$22*D91,4)</f>
        <v>1.9549000000000001</v>
      </c>
      <c r="G91" s="1"/>
    </row>
    <row r="92" spans="1:13" x14ac:dyDescent="0.35">
      <c r="B92" s="188" t="s">
        <v>21</v>
      </c>
      <c r="C92" s="188"/>
      <c r="D92" s="42">
        <f>SUM(D88:D91)</f>
        <v>3.56E-2</v>
      </c>
      <c r="E92" s="40">
        <f>SUM(E88:E91)</f>
        <v>99.419899999999984</v>
      </c>
      <c r="F92" s="1"/>
      <c r="G92" s="1"/>
    </row>
    <row r="93" spans="1:13" s="56" customFormat="1" ht="14.15" hidden="1" customHeight="1" x14ac:dyDescent="0.35">
      <c r="A93" s="44"/>
      <c r="B93" s="200" t="s">
        <v>49</v>
      </c>
      <c r="C93" s="200"/>
      <c r="D93" s="200"/>
      <c r="E93" s="200"/>
      <c r="F93" s="44"/>
    </row>
    <row r="94" spans="1:13" s="56" customFormat="1" hidden="1" x14ac:dyDescent="0.35">
      <c r="A94" s="44"/>
      <c r="B94" s="59"/>
      <c r="C94" s="44"/>
      <c r="D94" s="44"/>
      <c r="E94" s="44"/>
      <c r="F94" s="44"/>
    </row>
    <row r="95" spans="1:13" s="56" customFormat="1" hidden="1" x14ac:dyDescent="0.35">
      <c r="A95" s="44"/>
      <c r="B95" s="60" t="s">
        <v>50</v>
      </c>
      <c r="C95" s="201" t="s">
        <v>51</v>
      </c>
      <c r="D95" s="202"/>
      <c r="E95" s="60" t="s">
        <v>19</v>
      </c>
      <c r="F95" s="44"/>
    </row>
    <row r="96" spans="1:13" s="56" customFormat="1" ht="13.15" hidden="1" customHeight="1" x14ac:dyDescent="0.35">
      <c r="A96" s="44"/>
      <c r="B96" s="61" t="s">
        <v>2</v>
      </c>
      <c r="C96" s="203" t="s">
        <v>103</v>
      </c>
      <c r="D96" s="204"/>
      <c r="E96" s="49">
        <v>0</v>
      </c>
      <c r="F96" s="44"/>
    </row>
    <row r="97" spans="1:7" s="56" customFormat="1" hidden="1" x14ac:dyDescent="0.35">
      <c r="A97" s="44"/>
      <c r="B97" s="205" t="s">
        <v>21</v>
      </c>
      <c r="C97" s="205"/>
      <c r="D97" s="205"/>
      <c r="E97" s="58">
        <f>E96</f>
        <v>0</v>
      </c>
      <c r="F97" s="44"/>
    </row>
    <row r="98" spans="1:7" s="56" customFormat="1" x14ac:dyDescent="0.35">
      <c r="A98" s="44"/>
      <c r="B98" s="47"/>
      <c r="C98" s="44"/>
      <c r="D98" s="44"/>
      <c r="E98" s="44"/>
      <c r="F98" s="44"/>
    </row>
    <row r="99" spans="1:7" s="56" customFormat="1" hidden="1" x14ac:dyDescent="0.35">
      <c r="A99" s="44"/>
      <c r="B99" s="200" t="s">
        <v>52</v>
      </c>
      <c r="C99" s="200"/>
      <c r="D99" s="200"/>
      <c r="E99" s="200"/>
      <c r="F99" s="44"/>
    </row>
    <row r="100" spans="1:7" s="56" customFormat="1" hidden="1" x14ac:dyDescent="0.35">
      <c r="A100" s="44"/>
      <c r="B100" s="59"/>
      <c r="C100" s="44"/>
      <c r="D100" s="44"/>
      <c r="E100" s="44"/>
      <c r="F100" s="44"/>
    </row>
    <row r="101" spans="1:7" s="56" customFormat="1" hidden="1" x14ac:dyDescent="0.35">
      <c r="A101" s="44"/>
      <c r="B101" s="60">
        <v>4</v>
      </c>
      <c r="C101" s="60" t="s">
        <v>53</v>
      </c>
      <c r="D101" s="60" t="s">
        <v>24</v>
      </c>
      <c r="E101" s="60" t="s">
        <v>19</v>
      </c>
      <c r="F101" s="44"/>
    </row>
    <row r="102" spans="1:7" s="56" customFormat="1" hidden="1" x14ac:dyDescent="0.35">
      <c r="A102" s="44"/>
      <c r="B102" s="61" t="s">
        <v>46</v>
      </c>
      <c r="C102" s="62" t="s">
        <v>47</v>
      </c>
      <c r="D102" s="21">
        <f>D92</f>
        <v>3.56E-2</v>
      </c>
      <c r="E102" s="29">
        <f>E92</f>
        <v>99.419899999999984</v>
      </c>
      <c r="F102" s="44"/>
    </row>
    <row r="103" spans="1:7" s="56" customFormat="1" hidden="1" x14ac:dyDescent="0.35">
      <c r="A103" s="44"/>
      <c r="B103" s="61" t="s">
        <v>50</v>
      </c>
      <c r="C103" s="196" t="s">
        <v>51</v>
      </c>
      <c r="D103" s="197"/>
      <c r="E103" s="29">
        <f>E97</f>
        <v>0</v>
      </c>
      <c r="F103" s="44"/>
    </row>
    <row r="104" spans="1:7" hidden="1" x14ac:dyDescent="0.35">
      <c r="B104" s="206" t="s">
        <v>21</v>
      </c>
      <c r="C104" s="207"/>
      <c r="D104" s="208"/>
      <c r="E104" s="40">
        <f>SUM(E102:E103)</f>
        <v>99.419899999999984</v>
      </c>
      <c r="F104" s="1"/>
      <c r="G104" s="1"/>
    </row>
    <row r="105" spans="1:7" hidden="1" x14ac:dyDescent="0.35">
      <c r="F105" s="1"/>
      <c r="G105" s="1"/>
    </row>
    <row r="106" spans="1:7" x14ac:dyDescent="0.35">
      <c r="B106" s="195" t="s">
        <v>54</v>
      </c>
      <c r="C106" s="195"/>
      <c r="D106" s="195"/>
      <c r="E106" s="195"/>
      <c r="F106" s="1"/>
      <c r="G106" s="1"/>
    </row>
    <row r="108" spans="1:7" x14ac:dyDescent="0.35">
      <c r="B108" s="33">
        <v>5</v>
      </c>
      <c r="C108" s="188" t="s">
        <v>55</v>
      </c>
      <c r="D108" s="188"/>
      <c r="E108" s="33" t="s">
        <v>19</v>
      </c>
    </row>
    <row r="109" spans="1:7" ht="33" customHeight="1" x14ac:dyDescent="0.35">
      <c r="B109" s="18" t="s">
        <v>2</v>
      </c>
      <c r="C109" s="193" t="s">
        <v>201</v>
      </c>
      <c r="D109" s="193"/>
      <c r="E109" s="24">
        <v>0</v>
      </c>
    </row>
    <row r="110" spans="1:7" ht="13.5" customHeight="1" x14ac:dyDescent="0.35">
      <c r="B110" s="18" t="s">
        <v>3</v>
      </c>
      <c r="C110" s="193" t="s">
        <v>171</v>
      </c>
      <c r="D110" s="193"/>
      <c r="E110" s="24">
        <f>'Quadro Unif Mat Insumos'!G44</f>
        <v>3.82</v>
      </c>
    </row>
    <row r="111" spans="1:7" ht="13.5" customHeight="1" x14ac:dyDescent="0.35">
      <c r="B111" s="18" t="s">
        <v>4</v>
      </c>
      <c r="C111" s="193" t="s">
        <v>172</v>
      </c>
      <c r="D111" s="193"/>
      <c r="E111" s="24">
        <f>'Quadro Unif Mat Insumos'!G30</f>
        <v>8.2375000000000007</v>
      </c>
    </row>
    <row r="112" spans="1:7" x14ac:dyDescent="0.35">
      <c r="B112" s="188" t="s">
        <v>30</v>
      </c>
      <c r="C112" s="188"/>
      <c r="D112" s="188"/>
      <c r="E112" s="41">
        <f>SUM(E109:E111)</f>
        <v>12.057500000000001</v>
      </c>
    </row>
    <row r="114" spans="2:6" x14ac:dyDescent="0.35">
      <c r="B114" s="195" t="s">
        <v>56</v>
      </c>
      <c r="C114" s="195"/>
      <c r="D114" s="195"/>
      <c r="E114" s="195"/>
    </row>
    <row r="116" spans="2:6" x14ac:dyDescent="0.35">
      <c r="B116" s="33">
        <v>6</v>
      </c>
      <c r="C116" s="43" t="s">
        <v>57</v>
      </c>
      <c r="D116" s="33" t="s">
        <v>24</v>
      </c>
      <c r="E116" s="33" t="s">
        <v>19</v>
      </c>
    </row>
    <row r="117" spans="2:6" x14ac:dyDescent="0.35">
      <c r="B117" s="18" t="s">
        <v>2</v>
      </c>
      <c r="C117" s="16" t="s">
        <v>58</v>
      </c>
      <c r="D117" s="21">
        <v>7.3299999999999997E-3</v>
      </c>
      <c r="E117" s="20">
        <f>ROUND((E133*D117),2)</f>
        <v>42.81</v>
      </c>
    </row>
    <row r="118" spans="2:6" x14ac:dyDescent="0.35">
      <c r="B118" s="18" t="s">
        <v>3</v>
      </c>
      <c r="C118" s="16" t="s">
        <v>59</v>
      </c>
      <c r="D118" s="21">
        <v>1.5E-3</v>
      </c>
      <c r="E118" s="20">
        <f>ROUND((E133+E117)*D118,2)</f>
        <v>8.82</v>
      </c>
    </row>
    <row r="119" spans="2:6" x14ac:dyDescent="0.35">
      <c r="B119" s="17" t="s">
        <v>4</v>
      </c>
      <c r="C119" s="54" t="s">
        <v>60</v>
      </c>
      <c r="D119" s="28">
        <f>SUM(D120:D122)</f>
        <v>5.6499999999999995E-2</v>
      </c>
      <c r="E119" s="20"/>
      <c r="F119" s="5"/>
    </row>
    <row r="120" spans="2:6" x14ac:dyDescent="0.35">
      <c r="B120" s="18"/>
      <c r="C120" s="16" t="s">
        <v>61</v>
      </c>
      <c r="D120" s="27">
        <v>6.4999999999999997E-3</v>
      </c>
      <c r="E120" s="20">
        <f ca="1">ROUND($E$135*D120,2)</f>
        <v>40.590000000000003</v>
      </c>
    </row>
    <row r="121" spans="2:6" x14ac:dyDescent="0.35">
      <c r="B121" s="18"/>
      <c r="C121" s="16" t="s">
        <v>62</v>
      </c>
      <c r="D121" s="27">
        <v>0.03</v>
      </c>
      <c r="E121" s="20">
        <f ca="1">ROUND($E$135*D121,2)</f>
        <v>187.35</v>
      </c>
    </row>
    <row r="122" spans="2:6" x14ac:dyDescent="0.35">
      <c r="B122" s="18"/>
      <c r="C122" s="16" t="s">
        <v>63</v>
      </c>
      <c r="D122" s="27">
        <v>0.02</v>
      </c>
      <c r="E122" s="20">
        <f ca="1">ROUND($E$135*D122,2)</f>
        <v>124.9</v>
      </c>
      <c r="F122" s="15"/>
    </row>
    <row r="123" spans="2:6" x14ac:dyDescent="0.35">
      <c r="B123" s="188" t="s">
        <v>30</v>
      </c>
      <c r="C123" s="188"/>
      <c r="D123" s="42">
        <f>ROUND(((1+D117)*(1+D118))/(1-D119),4)-1</f>
        <v>6.9299999999999917E-2</v>
      </c>
      <c r="E123" s="41">
        <f ca="1">SUM(E117:E122)</f>
        <v>404.47</v>
      </c>
      <c r="F123" s="13"/>
    </row>
    <row r="125" spans="2:6" x14ac:dyDescent="0.35">
      <c r="B125" s="195" t="s">
        <v>64</v>
      </c>
      <c r="C125" s="195"/>
      <c r="D125" s="195"/>
      <c r="E125" s="195"/>
    </row>
    <row r="127" spans="2:6" x14ac:dyDescent="0.35">
      <c r="B127" s="33"/>
      <c r="C127" s="188" t="s">
        <v>65</v>
      </c>
      <c r="D127" s="188"/>
      <c r="E127" s="33" t="s">
        <v>19</v>
      </c>
    </row>
    <row r="128" spans="2:6" x14ac:dyDescent="0.35">
      <c r="B128" s="18" t="s">
        <v>2</v>
      </c>
      <c r="C128" s="193" t="s">
        <v>17</v>
      </c>
      <c r="D128" s="193"/>
      <c r="E128" s="30">
        <f>E22</f>
        <v>2792.6899999999996</v>
      </c>
    </row>
    <row r="129" spans="2:8" x14ac:dyDescent="0.35">
      <c r="B129" s="18" t="s">
        <v>3</v>
      </c>
      <c r="C129" s="193" t="s">
        <v>22</v>
      </c>
      <c r="D129" s="193"/>
      <c r="E129" s="30">
        <f>E63</f>
        <v>2760.8483000000001</v>
      </c>
    </row>
    <row r="130" spans="2:8" x14ac:dyDescent="0.35">
      <c r="B130" s="18" t="s">
        <v>4</v>
      </c>
      <c r="C130" s="193" t="s">
        <v>37</v>
      </c>
      <c r="D130" s="193"/>
      <c r="E130" s="30">
        <f>E75</f>
        <v>175.381</v>
      </c>
    </row>
    <row r="131" spans="2:8" x14ac:dyDescent="0.35">
      <c r="B131" s="18" t="s">
        <v>5</v>
      </c>
      <c r="C131" s="193" t="s">
        <v>44</v>
      </c>
      <c r="D131" s="193"/>
      <c r="E131" s="30">
        <f>E104</f>
        <v>99.419899999999984</v>
      </c>
      <c r="F131" s="5"/>
    </row>
    <row r="132" spans="2:8" x14ac:dyDescent="0.35">
      <c r="B132" s="18" t="s">
        <v>6</v>
      </c>
      <c r="C132" s="193" t="s">
        <v>54</v>
      </c>
      <c r="D132" s="193"/>
      <c r="E132" s="31">
        <f>E112</f>
        <v>12.057500000000001</v>
      </c>
    </row>
    <row r="133" spans="2:8" x14ac:dyDescent="0.35">
      <c r="B133" s="194" t="s">
        <v>66</v>
      </c>
      <c r="C133" s="194"/>
      <c r="D133" s="194"/>
      <c r="E133" s="32">
        <f>SUM(E128:E132)</f>
        <v>5840.3967000000002</v>
      </c>
    </row>
    <row r="134" spans="2:8" ht="16.5" customHeight="1" x14ac:dyDescent="0.35">
      <c r="B134" s="18" t="s">
        <v>7</v>
      </c>
      <c r="C134" s="209" t="s">
        <v>67</v>
      </c>
      <c r="D134" s="209"/>
      <c r="E134" s="30">
        <f ca="1">E123</f>
        <v>404.47</v>
      </c>
    </row>
    <row r="135" spans="2:8" x14ac:dyDescent="0.35">
      <c r="B135" s="194" t="s">
        <v>73</v>
      </c>
      <c r="C135" s="194"/>
      <c r="D135" s="194"/>
      <c r="E135" s="32">
        <f ca="1">ROUND(E133+E134,2)</f>
        <v>6244.87</v>
      </c>
      <c r="F135" s="11">
        <f ca="1">E135/E22</f>
        <v>2.2361486595361466</v>
      </c>
      <c r="G135" s="12" t="s">
        <v>68</v>
      </c>
    </row>
    <row r="136" spans="2:8" ht="16.5" customHeight="1" x14ac:dyDescent="0.35">
      <c r="B136" s="188" t="s">
        <v>104</v>
      </c>
      <c r="C136" s="188"/>
      <c r="D136" s="33">
        <v>2</v>
      </c>
      <c r="E136" s="34">
        <f ca="1">ROUND(E135*D136,2)</f>
        <v>12489.74</v>
      </c>
      <c r="H136" s="50">
        <f ca="1">E136*12</f>
        <v>149876.88</v>
      </c>
    </row>
    <row r="137" spans="2:8" x14ac:dyDescent="0.35">
      <c r="E137" s="3"/>
    </row>
    <row r="138" spans="2:8" ht="16.5" customHeight="1" x14ac:dyDescent="0.35">
      <c r="B138" s="188" t="s">
        <v>187</v>
      </c>
      <c r="C138" s="188"/>
      <c r="D138" s="188"/>
      <c r="E138" s="121">
        <f ca="1">E135/E22</f>
        <v>2.2361486595361466</v>
      </c>
    </row>
  </sheetData>
  <mergeCells count="62">
    <mergeCell ref="B138:D138"/>
    <mergeCell ref="B136:C136"/>
    <mergeCell ref="C130:D130"/>
    <mergeCell ref="C131:D131"/>
    <mergeCell ref="C132:D132"/>
    <mergeCell ref="B133:D133"/>
    <mergeCell ref="C134:D134"/>
    <mergeCell ref="B135:D135"/>
    <mergeCell ref="C129:D129"/>
    <mergeCell ref="B104:D104"/>
    <mergeCell ref="B106:E106"/>
    <mergeCell ref="C108:D108"/>
    <mergeCell ref="C109:D109"/>
    <mergeCell ref="C110:D110"/>
    <mergeCell ref="B112:D112"/>
    <mergeCell ref="B114:E114"/>
    <mergeCell ref="B123:C123"/>
    <mergeCell ref="B125:E125"/>
    <mergeCell ref="C127:D127"/>
    <mergeCell ref="C128:D128"/>
    <mergeCell ref="C111:D111"/>
    <mergeCell ref="C103:D103"/>
    <mergeCell ref="B77:E77"/>
    <mergeCell ref="B79:E79"/>
    <mergeCell ref="B88:C88"/>
    <mergeCell ref="B92:C92"/>
    <mergeCell ref="B93:E93"/>
    <mergeCell ref="C95:D95"/>
    <mergeCell ref="C96:D96"/>
    <mergeCell ref="B97:D97"/>
    <mergeCell ref="B99:E99"/>
    <mergeCell ref="B75:C75"/>
    <mergeCell ref="B34:E34"/>
    <mergeCell ref="B45:C45"/>
    <mergeCell ref="B47:E47"/>
    <mergeCell ref="B55:D55"/>
    <mergeCell ref="B57:E57"/>
    <mergeCell ref="C59:D59"/>
    <mergeCell ref="C60:D60"/>
    <mergeCell ref="C61:D61"/>
    <mergeCell ref="C62:D62"/>
    <mergeCell ref="B63:D63"/>
    <mergeCell ref="B65:E65"/>
    <mergeCell ref="B32:C32"/>
    <mergeCell ref="C8:D8"/>
    <mergeCell ref="B9:E9"/>
    <mergeCell ref="C10:D10"/>
    <mergeCell ref="C11:D11"/>
    <mergeCell ref="C12:D12"/>
    <mergeCell ref="C13:D13"/>
    <mergeCell ref="C14:D14"/>
    <mergeCell ref="B16:E16"/>
    <mergeCell ref="B22:D22"/>
    <mergeCell ref="B24:E24"/>
    <mergeCell ref="B26:E26"/>
    <mergeCell ref="C7:D7"/>
    <mergeCell ref="B1:E1"/>
    <mergeCell ref="B2:E2"/>
    <mergeCell ref="B3:E3"/>
    <mergeCell ref="C4:D4"/>
    <mergeCell ref="C5:D5"/>
    <mergeCell ref="C6:D6"/>
  </mergeCells>
  <conditionalFormatting sqref="E22:E94">
    <cfRule type="cellIs" dxfId="3" priority="4" operator="greaterThan">
      <formula>#REF!</formula>
    </cfRule>
  </conditionalFormatting>
  <conditionalFormatting sqref="E96">
    <cfRule type="cellIs" dxfId="2" priority="2" operator="greaterThan">
      <formula>#REF!</formula>
    </cfRule>
  </conditionalFormatting>
  <printOptions horizontalCentered="1"/>
  <pageMargins left="0.39370078740157483" right="0.39370078740157483" top="1.3779527559055118" bottom="0.98425196850393704" header="0.31496062992125984" footer="0.31496062992125984"/>
  <pageSetup paperSize="9" scale="79" fitToWidth="2" fitToHeight="2" orientation="portrait" r:id="rId1"/>
  <headerFooter>
    <oddHeader>&amp;C&amp;G</oddHeader>
  </headerFooter>
  <rowBreaks count="1" manualBreakCount="1">
    <brk id="64" min="1" max="4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2ACE3-C363-48AC-9A9E-7C8C33AC6753}">
  <dimension ref="A1:N139"/>
  <sheetViews>
    <sheetView showGridLines="0" topLeftCell="A134" zoomScale="130" zoomScaleNormal="130" zoomScaleSheetLayoutView="120" workbookViewId="0">
      <selection activeCell="E137" sqref="E137:H137"/>
    </sheetView>
  </sheetViews>
  <sheetFormatPr defaultColWidth="9.1796875" defaultRowHeight="11.5" x14ac:dyDescent="0.35"/>
  <cols>
    <col min="1" max="1" width="3.1796875" style="1" customWidth="1"/>
    <col min="2" max="2" width="6" style="2" customWidth="1"/>
    <col min="3" max="3" width="71.7265625" style="1" customWidth="1"/>
    <col min="4" max="4" width="17" style="1" customWidth="1"/>
    <col min="5" max="5" width="14.81640625" style="1" bestFit="1" customWidth="1"/>
    <col min="6" max="6" width="14.453125" style="2" hidden="1" customWidth="1"/>
    <col min="7" max="7" width="13.453125" style="2" hidden="1" customWidth="1"/>
    <col min="8" max="8" width="10.54296875" style="1" bestFit="1" customWidth="1"/>
    <col min="9" max="16384" width="9.1796875" style="1"/>
  </cols>
  <sheetData>
    <row r="1" spans="2:5" x14ac:dyDescent="0.35">
      <c r="B1" s="179" t="s">
        <v>98</v>
      </c>
      <c r="C1" s="180"/>
      <c r="D1" s="180"/>
      <c r="E1" s="181"/>
    </row>
    <row r="2" spans="2:5" ht="15.5" x14ac:dyDescent="0.35">
      <c r="B2" s="182" t="s">
        <v>175</v>
      </c>
      <c r="C2" s="183"/>
      <c r="D2" s="183"/>
      <c r="E2" s="184"/>
    </row>
    <row r="3" spans="2:5" ht="15" customHeight="1" x14ac:dyDescent="0.35">
      <c r="B3" s="185" t="s">
        <v>74</v>
      </c>
      <c r="C3" s="185"/>
      <c r="D3" s="185"/>
      <c r="E3" s="185"/>
    </row>
    <row r="4" spans="2:5" x14ac:dyDescent="0.35">
      <c r="B4" s="35" t="s">
        <v>2</v>
      </c>
      <c r="C4" s="178" t="s">
        <v>75</v>
      </c>
      <c r="D4" s="178"/>
      <c r="E4" s="37">
        <v>45754</v>
      </c>
    </row>
    <row r="5" spans="2:5" x14ac:dyDescent="0.35">
      <c r="B5" s="35" t="s">
        <v>3</v>
      </c>
      <c r="C5" s="178" t="s">
        <v>76</v>
      </c>
      <c r="D5" s="178"/>
      <c r="E5" s="37" t="s">
        <v>181</v>
      </c>
    </row>
    <row r="6" spans="2:5" x14ac:dyDescent="0.35">
      <c r="B6" s="35" t="s">
        <v>4</v>
      </c>
      <c r="C6" s="186" t="s">
        <v>197</v>
      </c>
      <c r="D6" s="187"/>
      <c r="E6" s="37" t="s">
        <v>198</v>
      </c>
    </row>
    <row r="7" spans="2:5" x14ac:dyDescent="0.35">
      <c r="B7" s="35" t="s">
        <v>5</v>
      </c>
      <c r="C7" s="178" t="s">
        <v>77</v>
      </c>
      <c r="D7" s="178"/>
      <c r="E7" s="38" t="s">
        <v>203</v>
      </c>
    </row>
    <row r="8" spans="2:5" x14ac:dyDescent="0.35">
      <c r="B8" s="35" t="s">
        <v>6</v>
      </c>
      <c r="C8" s="178" t="s">
        <v>78</v>
      </c>
      <c r="D8" s="178"/>
      <c r="E8" s="38">
        <v>12</v>
      </c>
    </row>
    <row r="9" spans="2:5" x14ac:dyDescent="0.35">
      <c r="B9" s="185" t="s">
        <v>79</v>
      </c>
      <c r="C9" s="185"/>
      <c r="D9" s="185"/>
      <c r="E9" s="185"/>
    </row>
    <row r="10" spans="2:5" ht="23" x14ac:dyDescent="0.35">
      <c r="B10" s="35">
        <v>1</v>
      </c>
      <c r="C10" s="178" t="s">
        <v>80</v>
      </c>
      <c r="D10" s="178"/>
      <c r="E10" s="83" t="s">
        <v>131</v>
      </c>
    </row>
    <row r="11" spans="2:5" x14ac:dyDescent="0.35">
      <c r="B11" s="35">
        <v>2</v>
      </c>
      <c r="C11" s="178" t="s">
        <v>81</v>
      </c>
      <c r="D11" s="178"/>
      <c r="E11" s="63" t="s">
        <v>182</v>
      </c>
    </row>
    <row r="12" spans="2:5" x14ac:dyDescent="0.35">
      <c r="B12" s="138">
        <v>3</v>
      </c>
      <c r="C12" s="189" t="s">
        <v>82</v>
      </c>
      <c r="D12" s="189"/>
      <c r="E12" s="137">
        <f>'VIG 12x36 - DIURNO'!E12</f>
        <v>2148.2199999999998</v>
      </c>
    </row>
    <row r="13" spans="2:5" x14ac:dyDescent="0.35">
      <c r="B13" s="35">
        <v>4</v>
      </c>
      <c r="C13" s="178" t="s">
        <v>83</v>
      </c>
      <c r="D13" s="178"/>
      <c r="E13" s="64" t="s">
        <v>129</v>
      </c>
    </row>
    <row r="14" spans="2:5" x14ac:dyDescent="0.35">
      <c r="B14" s="35">
        <v>5</v>
      </c>
      <c r="C14" s="178" t="s">
        <v>92</v>
      </c>
      <c r="D14" s="178"/>
      <c r="E14" s="139" t="s">
        <v>204</v>
      </c>
    </row>
    <row r="15" spans="2:5" x14ac:dyDescent="0.35">
      <c r="B15" s="35">
        <v>6</v>
      </c>
      <c r="C15" s="51" t="s">
        <v>100</v>
      </c>
      <c r="D15" s="52"/>
      <c r="E15" s="65">
        <v>15</v>
      </c>
    </row>
    <row r="16" spans="2:5" x14ac:dyDescent="0.35">
      <c r="B16" s="190" t="s">
        <v>17</v>
      </c>
      <c r="C16" s="190"/>
      <c r="D16" s="190"/>
      <c r="E16" s="190"/>
    </row>
    <row r="18" spans="1:8" x14ac:dyDescent="0.35">
      <c r="B18" s="33">
        <v>1</v>
      </c>
      <c r="C18" s="33" t="s">
        <v>18</v>
      </c>
      <c r="D18" s="33" t="s">
        <v>19</v>
      </c>
      <c r="E18" s="33" t="s">
        <v>19</v>
      </c>
    </row>
    <row r="19" spans="1:8" x14ac:dyDescent="0.35">
      <c r="B19" s="18" t="s">
        <v>2</v>
      </c>
      <c r="C19" s="16" t="s">
        <v>20</v>
      </c>
      <c r="D19" s="19">
        <v>1</v>
      </c>
      <c r="E19" s="140">
        <f>E12</f>
        <v>2148.2199999999998</v>
      </c>
    </row>
    <row r="20" spans="1:8" x14ac:dyDescent="0.35">
      <c r="B20" s="18" t="s">
        <v>3</v>
      </c>
      <c r="C20" s="16" t="s">
        <v>123</v>
      </c>
      <c r="D20" s="19">
        <v>0.3</v>
      </c>
      <c r="E20" s="20">
        <f>ROUND(E19*D20,2)</f>
        <v>644.47</v>
      </c>
    </row>
    <row r="21" spans="1:8" s="44" customFormat="1" x14ac:dyDescent="0.35">
      <c r="B21" s="61" t="s">
        <v>4</v>
      </c>
      <c r="C21" s="62" t="s">
        <v>16</v>
      </c>
      <c r="D21" s="66">
        <v>0.2</v>
      </c>
      <c r="E21" s="24">
        <f>(E19+E20)*58.33%*D21</f>
        <v>325.79521539999996</v>
      </c>
      <c r="F21" s="47"/>
      <c r="G21" s="47"/>
    </row>
    <row r="22" spans="1:8" s="44" customFormat="1" x14ac:dyDescent="0.35">
      <c r="B22" s="61" t="s">
        <v>5</v>
      </c>
      <c r="C22" s="62" t="s">
        <v>196</v>
      </c>
      <c r="D22" s="66">
        <v>0.2</v>
      </c>
      <c r="E22" s="24">
        <f>(E19+E20)*8.33%*1.2</f>
        <v>279.15729239999996</v>
      </c>
      <c r="F22" s="47"/>
      <c r="G22" s="47"/>
    </row>
    <row r="23" spans="1:8" x14ac:dyDescent="0.35">
      <c r="B23" s="188" t="s">
        <v>21</v>
      </c>
      <c r="C23" s="188"/>
      <c r="D23" s="188"/>
      <c r="E23" s="41">
        <f>SUM(E19:E22)</f>
        <v>3397.6425077999993</v>
      </c>
    </row>
    <row r="25" spans="1:8" ht="14.15" customHeight="1" x14ac:dyDescent="0.35">
      <c r="A25" s="6" t="s">
        <v>70</v>
      </c>
      <c r="B25" s="190" t="s">
        <v>22</v>
      </c>
      <c r="C25" s="190"/>
      <c r="D25" s="190"/>
      <c r="E25" s="190"/>
    </row>
    <row r="26" spans="1:8" x14ac:dyDescent="0.35">
      <c r="B26" s="36"/>
    </row>
    <row r="27" spans="1:8" x14ac:dyDescent="0.35">
      <c r="B27" s="191" t="s">
        <v>93</v>
      </c>
      <c r="C27" s="191"/>
      <c r="D27" s="191"/>
      <c r="E27" s="191"/>
    </row>
    <row r="29" spans="1:8" x14ac:dyDescent="0.35">
      <c r="B29" s="33" t="s">
        <v>23</v>
      </c>
      <c r="C29" s="33" t="s">
        <v>96</v>
      </c>
      <c r="D29" s="33" t="s">
        <v>24</v>
      </c>
      <c r="E29" s="33" t="s">
        <v>19</v>
      </c>
    </row>
    <row r="30" spans="1:8" x14ac:dyDescent="0.35">
      <c r="B30" s="18" t="s">
        <v>2</v>
      </c>
      <c r="C30" s="16" t="s">
        <v>25</v>
      </c>
      <c r="D30" s="19">
        <v>8.3299999999999999E-2</v>
      </c>
      <c r="E30" s="20">
        <f>ROUND($E$23*D30,4)</f>
        <v>283.02359999999999</v>
      </c>
    </row>
    <row r="31" spans="1:8" x14ac:dyDescent="0.35">
      <c r="B31" s="18" t="s">
        <v>3</v>
      </c>
      <c r="C31" s="16" t="s">
        <v>106</v>
      </c>
      <c r="D31" s="19">
        <v>0.121</v>
      </c>
      <c r="E31" s="20">
        <f t="shared" ref="E31" si="0">ROUND($E$23*D31,4)</f>
        <v>411.11470000000003</v>
      </c>
      <c r="H31" s="7"/>
    </row>
    <row r="32" spans="1:8" x14ac:dyDescent="0.35">
      <c r="B32" s="18" t="s">
        <v>4</v>
      </c>
      <c r="C32" s="16" t="s">
        <v>84</v>
      </c>
      <c r="D32" s="19">
        <f>ROUND((D30+D31)*D46,4)</f>
        <v>7.5200000000000003E-2</v>
      </c>
      <c r="E32" s="20">
        <f>ROUND($E$23*D32,4)</f>
        <v>255.5027</v>
      </c>
    </row>
    <row r="33" spans="2:7" x14ac:dyDescent="0.35">
      <c r="B33" s="188" t="s">
        <v>21</v>
      </c>
      <c r="C33" s="188"/>
      <c r="D33" s="39">
        <f>SUM(D30:D32)</f>
        <v>0.27949999999999997</v>
      </c>
      <c r="E33" s="41">
        <f>SUM(E30:E32)</f>
        <v>949.64100000000008</v>
      </c>
    </row>
    <row r="35" spans="2:7" ht="14.15" customHeight="1" x14ac:dyDescent="0.35">
      <c r="B35" s="192" t="s">
        <v>26</v>
      </c>
      <c r="C35" s="192"/>
      <c r="D35" s="192"/>
      <c r="E35" s="192"/>
    </row>
    <row r="37" spans="2:7" x14ac:dyDescent="0.35">
      <c r="B37" s="33" t="s">
        <v>27</v>
      </c>
      <c r="C37" s="33" t="s">
        <v>28</v>
      </c>
      <c r="D37" s="33" t="s">
        <v>24</v>
      </c>
      <c r="E37" s="33" t="s">
        <v>19</v>
      </c>
    </row>
    <row r="38" spans="2:7" x14ac:dyDescent="0.35">
      <c r="B38" s="18" t="s">
        <v>2</v>
      </c>
      <c r="C38" s="16" t="s">
        <v>10</v>
      </c>
      <c r="D38" s="19">
        <v>0.2</v>
      </c>
      <c r="E38" s="20">
        <f t="shared" ref="E38:E45" si="1">ROUND($E$23*D38,4)</f>
        <v>679.52850000000001</v>
      </c>
    </row>
    <row r="39" spans="2:7" x14ac:dyDescent="0.35">
      <c r="B39" s="18" t="s">
        <v>3</v>
      </c>
      <c r="C39" s="16" t="s">
        <v>29</v>
      </c>
      <c r="D39" s="19">
        <v>2.5000000000000001E-2</v>
      </c>
      <c r="E39" s="20">
        <f t="shared" si="1"/>
        <v>84.941100000000006</v>
      </c>
    </row>
    <row r="40" spans="2:7" x14ac:dyDescent="0.35">
      <c r="B40" s="18" t="s">
        <v>4</v>
      </c>
      <c r="C40" s="16" t="s">
        <v>173</v>
      </c>
      <c r="D40" s="21">
        <f>3*1%</f>
        <v>0.03</v>
      </c>
      <c r="E40" s="20">
        <f t="shared" si="1"/>
        <v>101.9293</v>
      </c>
    </row>
    <row r="41" spans="2:7" x14ac:dyDescent="0.35">
      <c r="B41" s="18" t="s">
        <v>5</v>
      </c>
      <c r="C41" s="16" t="s">
        <v>94</v>
      </c>
      <c r="D41" s="19">
        <v>1.4999999999999999E-2</v>
      </c>
      <c r="E41" s="20">
        <f t="shared" si="1"/>
        <v>50.964599999999997</v>
      </c>
    </row>
    <row r="42" spans="2:7" x14ac:dyDescent="0.35">
      <c r="B42" s="18" t="s">
        <v>6</v>
      </c>
      <c r="C42" s="16" t="s">
        <v>95</v>
      </c>
      <c r="D42" s="19">
        <v>0.01</v>
      </c>
      <c r="E42" s="20">
        <f t="shared" si="1"/>
        <v>33.976399999999998</v>
      </c>
    </row>
    <row r="43" spans="2:7" x14ac:dyDescent="0.35">
      <c r="B43" s="18" t="s">
        <v>7</v>
      </c>
      <c r="C43" s="16" t="s">
        <v>13</v>
      </c>
      <c r="D43" s="19">
        <v>6.0000000000000001E-3</v>
      </c>
      <c r="E43" s="20">
        <f t="shared" si="1"/>
        <v>20.385899999999999</v>
      </c>
    </row>
    <row r="44" spans="2:7" x14ac:dyDescent="0.35">
      <c r="B44" s="18" t="s">
        <v>8</v>
      </c>
      <c r="C44" s="16" t="s">
        <v>11</v>
      </c>
      <c r="D44" s="19">
        <v>2E-3</v>
      </c>
      <c r="E44" s="20">
        <f t="shared" si="1"/>
        <v>6.7953000000000001</v>
      </c>
    </row>
    <row r="45" spans="2:7" x14ac:dyDescent="0.35">
      <c r="B45" s="18" t="s">
        <v>9</v>
      </c>
      <c r="C45" s="16" t="s">
        <v>12</v>
      </c>
      <c r="D45" s="19">
        <v>0.08</v>
      </c>
      <c r="E45" s="20">
        <f t="shared" si="1"/>
        <v>271.81139999999999</v>
      </c>
    </row>
    <row r="46" spans="2:7" x14ac:dyDescent="0.35">
      <c r="B46" s="188" t="s">
        <v>30</v>
      </c>
      <c r="C46" s="188"/>
      <c r="D46" s="39">
        <f>SUM(D38:D45)</f>
        <v>0.36800000000000005</v>
      </c>
      <c r="E46" s="40">
        <f>SUM(E38:E45)</f>
        <v>1250.3325</v>
      </c>
      <c r="G46" s="5"/>
    </row>
    <row r="48" spans="2:7" ht="14.15" customHeight="1" x14ac:dyDescent="0.35">
      <c r="B48" s="191" t="s">
        <v>31</v>
      </c>
      <c r="C48" s="191"/>
      <c r="D48" s="191"/>
      <c r="E48" s="191"/>
    </row>
    <row r="50" spans="1:14" x14ac:dyDescent="0.35">
      <c r="B50" s="33" t="s">
        <v>32</v>
      </c>
      <c r="C50" s="33" t="s">
        <v>33</v>
      </c>
      <c r="D50" s="41" t="s">
        <v>34</v>
      </c>
      <c r="E50" s="41" t="s">
        <v>19</v>
      </c>
    </row>
    <row r="51" spans="1:14" s="2" customFormat="1" x14ac:dyDescent="0.35">
      <c r="A51" s="1"/>
      <c r="B51" s="18" t="s">
        <v>2</v>
      </c>
      <c r="C51" s="23" t="s">
        <v>99</v>
      </c>
      <c r="D51" s="20">
        <v>4.83</v>
      </c>
      <c r="E51" s="78">
        <f>(((D51*2)*E15)-(6%*(E19/2)))</f>
        <v>80.453400000000016</v>
      </c>
      <c r="H51" s="1"/>
      <c r="I51" s="1"/>
      <c r="J51" s="1"/>
      <c r="K51" s="1"/>
      <c r="L51" s="1"/>
      <c r="M51" s="1"/>
      <c r="N51" s="1"/>
    </row>
    <row r="52" spans="1:14" s="36" customFormat="1" x14ac:dyDescent="0.35">
      <c r="A52" s="141"/>
      <c r="B52" s="17" t="s">
        <v>3</v>
      </c>
      <c r="C52" s="142" t="s">
        <v>101</v>
      </c>
      <c r="D52" s="140">
        <f>'VIG 12x36 - DIURNO'!D51</f>
        <v>39</v>
      </c>
      <c r="E52" s="140">
        <f>((D52-(D52*18%))*E15)</f>
        <v>479.7</v>
      </c>
      <c r="F52" s="143"/>
      <c r="H52" s="141"/>
      <c r="I52" s="141"/>
      <c r="J52" s="141"/>
      <c r="K52" s="141"/>
      <c r="L52" s="141"/>
      <c r="M52" s="141"/>
      <c r="N52" s="141"/>
    </row>
    <row r="53" spans="1:14" s="36" customFormat="1" x14ac:dyDescent="0.35">
      <c r="A53" s="141"/>
      <c r="B53" s="17" t="s">
        <v>4</v>
      </c>
      <c r="C53" s="142" t="s">
        <v>102</v>
      </c>
      <c r="D53" s="140">
        <f>'VIG 12x36 - DIURNO'!D52</f>
        <v>187.26400000000001</v>
      </c>
      <c r="E53" s="140">
        <f>D53</f>
        <v>187.26400000000001</v>
      </c>
      <c r="F53" s="143"/>
      <c r="H53" s="141"/>
      <c r="I53" s="141"/>
      <c r="J53" s="141"/>
      <c r="K53" s="141"/>
      <c r="L53" s="141"/>
      <c r="M53" s="141"/>
      <c r="N53" s="141"/>
    </row>
    <row r="54" spans="1:14" s="36" customFormat="1" x14ac:dyDescent="0.35">
      <c r="A54" s="141"/>
      <c r="B54" s="17" t="s">
        <v>5</v>
      </c>
      <c r="C54" s="142" t="s">
        <v>105</v>
      </c>
      <c r="D54" s="140">
        <f>'VIG 12x36 - DIURNO'!D53</f>
        <v>17.899999999999999</v>
      </c>
      <c r="E54" s="140">
        <f>D54</f>
        <v>17.899999999999999</v>
      </c>
      <c r="H54" s="141"/>
      <c r="I54" s="141"/>
      <c r="J54" s="141"/>
      <c r="K54" s="141"/>
      <c r="L54" s="141"/>
      <c r="M54" s="141"/>
      <c r="N54" s="141"/>
    </row>
    <row r="55" spans="1:14" s="36" customFormat="1" x14ac:dyDescent="0.35">
      <c r="A55" s="141"/>
      <c r="B55" s="17" t="s">
        <v>6</v>
      </c>
      <c r="C55" s="142" t="s">
        <v>134</v>
      </c>
      <c r="D55" s="140">
        <f>'VIG 12x36 - DIURNO'!D54</f>
        <v>187.26400000000001</v>
      </c>
      <c r="E55" s="140">
        <f>D55</f>
        <v>187.26400000000001</v>
      </c>
      <c r="H55" s="141"/>
      <c r="I55" s="141"/>
      <c r="J55" s="141"/>
      <c r="K55" s="141"/>
      <c r="L55" s="141"/>
      <c r="M55" s="141"/>
      <c r="N55" s="141"/>
    </row>
    <row r="56" spans="1:14" s="2" customFormat="1" x14ac:dyDescent="0.35">
      <c r="A56" s="1"/>
      <c r="B56" s="188" t="s">
        <v>21</v>
      </c>
      <c r="C56" s="188"/>
      <c r="D56" s="188"/>
      <c r="E56" s="41">
        <f>SUM(E51:E55)</f>
        <v>952.58140000000003</v>
      </c>
      <c r="H56" s="1"/>
      <c r="I56" s="1"/>
      <c r="J56" s="1"/>
      <c r="K56" s="1"/>
      <c r="L56" s="1"/>
      <c r="M56" s="1"/>
      <c r="N56" s="1"/>
    </row>
    <row r="58" spans="1:14" s="2" customFormat="1" ht="14.15" customHeight="1" x14ac:dyDescent="0.35">
      <c r="A58" s="1"/>
      <c r="B58" s="191" t="s">
        <v>35</v>
      </c>
      <c r="C58" s="191"/>
      <c r="D58" s="191"/>
      <c r="E58" s="191"/>
      <c r="H58" s="1"/>
      <c r="I58" s="1"/>
      <c r="J58" s="1"/>
      <c r="K58" s="1"/>
      <c r="L58" s="1"/>
      <c r="M58" s="1"/>
      <c r="N58" s="1"/>
    </row>
    <row r="60" spans="1:14" s="2" customFormat="1" x14ac:dyDescent="0.35">
      <c r="A60" s="1"/>
      <c r="B60" s="33">
        <v>2</v>
      </c>
      <c r="C60" s="188" t="s">
        <v>36</v>
      </c>
      <c r="D60" s="188"/>
      <c r="E60" s="33" t="s">
        <v>19</v>
      </c>
      <c r="H60" s="1"/>
      <c r="I60" s="1"/>
      <c r="J60" s="1"/>
      <c r="K60" s="1"/>
      <c r="L60" s="1"/>
      <c r="M60" s="1"/>
      <c r="N60" s="1"/>
    </row>
    <row r="61" spans="1:14" s="2" customFormat="1" x14ac:dyDescent="0.35">
      <c r="A61" s="1"/>
      <c r="B61" s="18" t="s">
        <v>23</v>
      </c>
      <c r="C61" s="193" t="s">
        <v>96</v>
      </c>
      <c r="D61" s="193"/>
      <c r="E61" s="25">
        <f>E33</f>
        <v>949.64100000000008</v>
      </c>
      <c r="H61" s="1"/>
      <c r="I61" s="1"/>
      <c r="J61" s="1"/>
      <c r="K61" s="1"/>
      <c r="L61" s="1"/>
      <c r="M61" s="1"/>
      <c r="N61" s="1"/>
    </row>
    <row r="62" spans="1:14" s="2" customFormat="1" x14ac:dyDescent="0.35">
      <c r="A62" s="1"/>
      <c r="B62" s="18" t="s">
        <v>27</v>
      </c>
      <c r="C62" s="193" t="s">
        <v>28</v>
      </c>
      <c r="D62" s="193"/>
      <c r="E62" s="25">
        <f>E46</f>
        <v>1250.3325</v>
      </c>
      <c r="H62" s="1"/>
      <c r="I62" s="1"/>
      <c r="J62" s="1"/>
      <c r="K62" s="1"/>
      <c r="L62" s="1"/>
      <c r="M62" s="1"/>
      <c r="N62" s="1"/>
    </row>
    <row r="63" spans="1:14" s="2" customFormat="1" x14ac:dyDescent="0.35">
      <c r="A63" s="1"/>
      <c r="B63" s="18" t="s">
        <v>32</v>
      </c>
      <c r="C63" s="193" t="s">
        <v>33</v>
      </c>
      <c r="D63" s="193"/>
      <c r="E63" s="25">
        <f>E56</f>
        <v>952.58140000000003</v>
      </c>
      <c r="H63" s="1"/>
      <c r="I63" s="1"/>
      <c r="J63" s="1"/>
      <c r="K63" s="1"/>
      <c r="L63" s="1"/>
      <c r="M63" s="1"/>
      <c r="N63" s="1"/>
    </row>
    <row r="64" spans="1:14" s="2" customFormat="1" x14ac:dyDescent="0.35">
      <c r="A64" s="1"/>
      <c r="B64" s="194" t="s">
        <v>21</v>
      </c>
      <c r="C64" s="194"/>
      <c r="D64" s="194"/>
      <c r="E64" s="22">
        <f>SUM(E61:E63)</f>
        <v>3152.5549000000001</v>
      </c>
      <c r="H64" s="1"/>
      <c r="I64" s="1"/>
      <c r="J64" s="1"/>
      <c r="K64" s="1"/>
      <c r="L64" s="1"/>
      <c r="M64" s="1"/>
      <c r="N64" s="1"/>
    </row>
    <row r="66" spans="1:14" s="2" customFormat="1" ht="14.15" customHeight="1" x14ac:dyDescent="0.35">
      <c r="A66" s="1"/>
      <c r="B66" s="195" t="s">
        <v>37</v>
      </c>
      <c r="C66" s="195"/>
      <c r="D66" s="195"/>
      <c r="E66" s="195"/>
      <c r="H66" s="1"/>
      <c r="I66" s="1"/>
      <c r="J66" s="1"/>
      <c r="K66" s="1"/>
      <c r="L66" s="1"/>
      <c r="M66" s="1"/>
      <c r="N66" s="1"/>
    </row>
    <row r="68" spans="1:14" s="2" customFormat="1" x14ac:dyDescent="0.35">
      <c r="A68" s="1"/>
      <c r="B68" s="33">
        <v>3</v>
      </c>
      <c r="C68" s="33" t="s">
        <v>38</v>
      </c>
      <c r="D68" s="33" t="s">
        <v>24</v>
      </c>
      <c r="E68" s="33" t="s">
        <v>19</v>
      </c>
      <c r="H68" s="1"/>
      <c r="I68" s="1"/>
      <c r="J68" s="1"/>
      <c r="K68" s="1"/>
      <c r="L68" s="1"/>
      <c r="M68" s="1"/>
      <c r="N68" s="1"/>
    </row>
    <row r="69" spans="1:14" s="2" customFormat="1" x14ac:dyDescent="0.35">
      <c r="A69" s="1"/>
      <c r="B69" s="18" t="s">
        <v>2</v>
      </c>
      <c r="C69" s="26" t="s">
        <v>39</v>
      </c>
      <c r="D69" s="27">
        <v>5.4999999999999997E-3</v>
      </c>
      <c r="E69" s="20">
        <f t="shared" ref="E69:E75" si="2">ROUND($E$23*D69,4)</f>
        <v>18.687000000000001</v>
      </c>
      <c r="H69" s="1"/>
      <c r="I69" s="1"/>
      <c r="J69" s="1"/>
      <c r="K69" s="1"/>
      <c r="L69" s="1"/>
      <c r="M69" s="1"/>
      <c r="N69" s="1"/>
    </row>
    <row r="70" spans="1:14" s="2" customFormat="1" x14ac:dyDescent="0.35">
      <c r="A70" s="1"/>
      <c r="B70" s="18" t="s">
        <v>3</v>
      </c>
      <c r="C70" s="26" t="s">
        <v>40</v>
      </c>
      <c r="D70" s="27">
        <v>4.0000000000000002E-4</v>
      </c>
      <c r="E70" s="20">
        <f t="shared" si="2"/>
        <v>1.3591</v>
      </c>
      <c r="H70" s="1"/>
      <c r="I70" s="1"/>
      <c r="J70" s="1"/>
      <c r="K70" s="1"/>
      <c r="L70" s="1"/>
      <c r="M70" s="1"/>
      <c r="N70" s="1"/>
    </row>
    <row r="71" spans="1:14" s="2" customFormat="1" x14ac:dyDescent="0.35">
      <c r="A71" s="1"/>
      <c r="B71" s="18" t="s">
        <v>4</v>
      </c>
      <c r="C71" s="26" t="s">
        <v>41</v>
      </c>
      <c r="D71" s="27">
        <v>2.0000000000000001E-4</v>
      </c>
      <c r="E71" s="20">
        <f t="shared" si="2"/>
        <v>0.67949999999999999</v>
      </c>
      <c r="H71" s="1"/>
      <c r="I71" s="1"/>
      <c r="J71" s="1"/>
      <c r="K71" s="1"/>
      <c r="L71" s="1"/>
      <c r="M71" s="1"/>
      <c r="N71" s="1"/>
    </row>
    <row r="72" spans="1:14" s="2" customFormat="1" x14ac:dyDescent="0.35">
      <c r="A72" s="1"/>
      <c r="B72" s="18" t="s">
        <v>5</v>
      </c>
      <c r="C72" s="26" t="s">
        <v>15</v>
      </c>
      <c r="D72" s="27">
        <v>1.7500000000000002E-2</v>
      </c>
      <c r="E72" s="20">
        <f t="shared" si="2"/>
        <v>59.4587</v>
      </c>
      <c r="F72" s="5"/>
      <c r="G72" s="5"/>
      <c r="H72" s="1"/>
      <c r="I72" s="1"/>
      <c r="J72" s="1"/>
      <c r="K72" s="1"/>
      <c r="L72" s="1"/>
      <c r="M72" s="1"/>
      <c r="N72" s="1"/>
    </row>
    <row r="73" spans="1:14" s="2" customFormat="1" x14ac:dyDescent="0.35">
      <c r="A73" s="1"/>
      <c r="B73" s="18" t="s">
        <v>6</v>
      </c>
      <c r="C73" s="26" t="s">
        <v>42</v>
      </c>
      <c r="D73" s="27">
        <v>6.6E-3</v>
      </c>
      <c r="E73" s="20">
        <f t="shared" si="2"/>
        <v>22.424399999999999</v>
      </c>
      <c r="H73" s="1"/>
      <c r="I73" s="1"/>
      <c r="J73" s="1"/>
      <c r="K73" s="1"/>
      <c r="L73" s="1"/>
      <c r="M73" s="1"/>
      <c r="N73" s="1"/>
    </row>
    <row r="74" spans="1:14" s="2" customFormat="1" x14ac:dyDescent="0.35">
      <c r="A74" s="1"/>
      <c r="B74" s="18" t="s">
        <v>7</v>
      </c>
      <c r="C74" s="26" t="s">
        <v>43</v>
      </c>
      <c r="D74" s="27">
        <v>5.9999999999999995E-4</v>
      </c>
      <c r="E74" s="20">
        <f t="shared" si="2"/>
        <v>2.0386000000000002</v>
      </c>
      <c r="F74" s="8"/>
      <c r="H74" s="1"/>
      <c r="I74" s="1"/>
      <c r="J74" s="1"/>
      <c r="K74" s="1"/>
      <c r="L74" s="1"/>
      <c r="M74" s="1"/>
      <c r="N74" s="1"/>
    </row>
    <row r="75" spans="1:14" s="2" customFormat="1" x14ac:dyDescent="0.35">
      <c r="A75" s="1"/>
      <c r="B75" s="18" t="s">
        <v>8</v>
      </c>
      <c r="C75" s="26" t="s">
        <v>85</v>
      </c>
      <c r="D75" s="27">
        <v>3.2000000000000001E-2</v>
      </c>
      <c r="E75" s="20">
        <f t="shared" si="2"/>
        <v>108.7246</v>
      </c>
      <c r="F75" s="8"/>
      <c r="H75" s="1"/>
      <c r="I75" s="1"/>
      <c r="J75" s="1"/>
      <c r="K75" s="1"/>
      <c r="L75" s="1"/>
      <c r="M75" s="1"/>
      <c r="N75" s="1"/>
    </row>
    <row r="76" spans="1:14" s="2" customFormat="1" x14ac:dyDescent="0.35">
      <c r="A76" s="1"/>
      <c r="B76" s="188" t="s">
        <v>21</v>
      </c>
      <c r="C76" s="188"/>
      <c r="D76" s="42">
        <f>SUM(D69:D75)</f>
        <v>6.2800000000000009E-2</v>
      </c>
      <c r="E76" s="40">
        <f>SUM(E69:E75)</f>
        <v>213.37189999999998</v>
      </c>
      <c r="H76" s="1"/>
      <c r="I76" s="1"/>
      <c r="J76" s="1"/>
      <c r="K76" s="1"/>
      <c r="L76" s="1"/>
      <c r="M76" s="1"/>
      <c r="N76" s="1"/>
    </row>
    <row r="78" spans="1:14" s="2" customFormat="1" x14ac:dyDescent="0.35">
      <c r="A78" s="1"/>
      <c r="B78" s="195" t="s">
        <v>44</v>
      </c>
      <c r="C78" s="195"/>
      <c r="D78" s="195"/>
      <c r="E78" s="195"/>
      <c r="H78" s="1"/>
      <c r="I78" s="1"/>
      <c r="J78" s="1"/>
      <c r="K78" s="1"/>
      <c r="L78" s="1"/>
      <c r="M78" s="1"/>
      <c r="N78" s="1"/>
    </row>
    <row r="80" spans="1:14" s="2" customFormat="1" x14ac:dyDescent="0.35">
      <c r="A80" s="1"/>
      <c r="B80" s="191" t="s">
        <v>45</v>
      </c>
      <c r="C80" s="191"/>
      <c r="D80" s="191"/>
      <c r="E80" s="191"/>
      <c r="H80" s="1"/>
      <c r="I80" s="1"/>
      <c r="J80" s="1"/>
      <c r="K80" s="1"/>
      <c r="L80" s="1"/>
      <c r="M80" s="1"/>
      <c r="N80" s="1"/>
    </row>
    <row r="81" spans="1:14" s="2" customFormat="1" x14ac:dyDescent="0.35">
      <c r="A81" s="1"/>
      <c r="B81" s="36"/>
      <c r="C81" s="1"/>
      <c r="D81" s="1"/>
      <c r="E81" s="1"/>
      <c r="H81" s="1"/>
      <c r="I81" s="1"/>
      <c r="J81" s="1"/>
      <c r="K81" s="1"/>
      <c r="L81" s="1"/>
      <c r="M81" s="1"/>
      <c r="N81" s="1"/>
    </row>
    <row r="82" spans="1:14" s="2" customFormat="1" x14ac:dyDescent="0.35">
      <c r="A82" s="1"/>
      <c r="B82" s="33" t="s">
        <v>46</v>
      </c>
      <c r="C82" s="33" t="s">
        <v>47</v>
      </c>
      <c r="D82" s="33" t="s">
        <v>24</v>
      </c>
      <c r="E82" s="33" t="s">
        <v>19</v>
      </c>
      <c r="H82" s="1"/>
      <c r="I82" s="1"/>
      <c r="J82" s="1"/>
      <c r="K82" s="1"/>
      <c r="L82" s="1"/>
      <c r="M82" s="1"/>
      <c r="N82" s="1"/>
    </row>
    <row r="83" spans="1:14" x14ac:dyDescent="0.35">
      <c r="B83" s="18" t="s">
        <v>2</v>
      </c>
      <c r="C83" s="16" t="s">
        <v>86</v>
      </c>
      <c r="D83" s="27">
        <v>1.6199999999999999E-2</v>
      </c>
      <c r="E83" s="20">
        <f t="shared" ref="E83:E88" si="3">ROUND($E$23*D83,4)</f>
        <v>55.041800000000002</v>
      </c>
      <c r="F83" s="4"/>
      <c r="G83" s="5"/>
    </row>
    <row r="84" spans="1:14" x14ac:dyDescent="0.35">
      <c r="B84" s="18" t="s">
        <v>3</v>
      </c>
      <c r="C84" s="16" t="s">
        <v>47</v>
      </c>
      <c r="D84" s="27">
        <v>1E-3</v>
      </c>
      <c r="E84" s="20">
        <f t="shared" si="3"/>
        <v>3.3976000000000002</v>
      </c>
      <c r="F84" s="4"/>
      <c r="G84" s="5"/>
    </row>
    <row r="85" spans="1:14" x14ac:dyDescent="0.35">
      <c r="B85" s="18" t="s">
        <v>4</v>
      </c>
      <c r="C85" s="16" t="s">
        <v>48</v>
      </c>
      <c r="D85" s="27">
        <v>1E-3</v>
      </c>
      <c r="E85" s="20">
        <f t="shared" si="3"/>
        <v>3.3976000000000002</v>
      </c>
      <c r="F85" s="9"/>
    </row>
    <row r="86" spans="1:14" x14ac:dyDescent="0.35">
      <c r="B86" s="18" t="s">
        <v>5</v>
      </c>
      <c r="C86" s="16" t="s">
        <v>97</v>
      </c>
      <c r="D86" s="27">
        <v>1E-3</v>
      </c>
      <c r="E86" s="20">
        <f t="shared" si="3"/>
        <v>3.3976000000000002</v>
      </c>
    </row>
    <row r="87" spans="1:14" x14ac:dyDescent="0.35">
      <c r="B87" s="18" t="s">
        <v>6</v>
      </c>
      <c r="C87" s="16" t="s">
        <v>72</v>
      </c>
      <c r="D87" s="27">
        <v>1E-3</v>
      </c>
      <c r="E87" s="20">
        <f t="shared" si="3"/>
        <v>3.3976000000000002</v>
      </c>
    </row>
    <row r="88" spans="1:14" x14ac:dyDescent="0.35">
      <c r="B88" s="18" t="s">
        <v>7</v>
      </c>
      <c r="C88" s="16" t="s">
        <v>14</v>
      </c>
      <c r="D88" s="27">
        <v>1E-3</v>
      </c>
      <c r="E88" s="20">
        <f t="shared" si="3"/>
        <v>3.3976000000000002</v>
      </c>
      <c r="F88" s="10" t="s">
        <v>0</v>
      </c>
      <c r="G88" s="10" t="s">
        <v>69</v>
      </c>
    </row>
    <row r="89" spans="1:14" x14ac:dyDescent="0.35">
      <c r="B89" s="198" t="s">
        <v>89</v>
      </c>
      <c r="C89" s="199"/>
      <c r="D89" s="28">
        <f>SUM(D83:D88)</f>
        <v>2.1200000000000004E-2</v>
      </c>
      <c r="E89" s="22">
        <f>SUM(E83:E88)</f>
        <v>72.029799999999994</v>
      </c>
      <c r="F89" s="10"/>
      <c r="G89" s="10"/>
    </row>
    <row r="90" spans="1:14" x14ac:dyDescent="0.35">
      <c r="B90" s="18" t="s">
        <v>8</v>
      </c>
      <c r="C90" s="16" t="s">
        <v>88</v>
      </c>
      <c r="D90" s="27">
        <f>ROUND(D89*D33,4)</f>
        <v>5.8999999999999999E-3</v>
      </c>
      <c r="E90" s="20">
        <f>ROUND($E$23*D90,4)</f>
        <v>20.046099999999999</v>
      </c>
      <c r="F90" s="194" t="s">
        <v>30</v>
      </c>
      <c r="G90" s="194"/>
      <c r="H90" s="45"/>
      <c r="I90" s="46"/>
      <c r="J90" s="44"/>
      <c r="K90" s="44"/>
      <c r="L90" s="44"/>
      <c r="M90" s="44"/>
      <c r="N90" s="44"/>
    </row>
    <row r="91" spans="1:14" x14ac:dyDescent="0.35">
      <c r="B91" s="18" t="s">
        <v>9</v>
      </c>
      <c r="C91" s="16" t="s">
        <v>90</v>
      </c>
      <c r="D91" s="27">
        <f>ROUND(D89*D46,4)</f>
        <v>7.7999999999999996E-3</v>
      </c>
      <c r="E91" s="20">
        <f>ROUND($E$23*D91,4)</f>
        <v>26.5016</v>
      </c>
      <c r="G91" s="1"/>
      <c r="H91" s="48"/>
      <c r="I91" s="47"/>
      <c r="J91" s="44"/>
      <c r="K91" s="44"/>
      <c r="L91" s="44"/>
      <c r="M91" s="44"/>
      <c r="N91" s="44"/>
    </row>
    <row r="92" spans="1:14" x14ac:dyDescent="0.35">
      <c r="B92" s="18" t="s">
        <v>87</v>
      </c>
      <c r="C92" s="16" t="s">
        <v>91</v>
      </c>
      <c r="D92" s="27">
        <f>ROUND(D89*D75,4)</f>
        <v>6.9999999999999999E-4</v>
      </c>
      <c r="E92" s="20">
        <f>ROUND($E$23*D92,4)</f>
        <v>2.3782999999999999</v>
      </c>
      <c r="F92" s="191" t="s">
        <v>49</v>
      </c>
      <c r="G92" s="191"/>
      <c r="H92" s="15">
        <f>E93+E76+E46+E33</f>
        <v>2534.3011999999999</v>
      </c>
      <c r="I92" s="2"/>
    </row>
    <row r="93" spans="1:14" x14ac:dyDescent="0.35">
      <c r="B93" s="188" t="s">
        <v>21</v>
      </c>
      <c r="C93" s="188"/>
      <c r="D93" s="42">
        <f>SUM(D89:D92)</f>
        <v>3.56E-2</v>
      </c>
      <c r="E93" s="40">
        <f>SUM(E89:E92)</f>
        <v>120.95579999999998</v>
      </c>
      <c r="H93" s="53">
        <f>(E93+E76+E46+E33)/E23</f>
        <v>0.745899897997503</v>
      </c>
    </row>
    <row r="94" spans="1:14" s="56" customFormat="1" ht="14.15" hidden="1" customHeight="1" x14ac:dyDescent="0.35">
      <c r="A94" s="44"/>
      <c r="B94" s="200" t="s">
        <v>49</v>
      </c>
      <c r="C94" s="200"/>
      <c r="D94" s="200"/>
      <c r="E94" s="200"/>
      <c r="F94" s="57"/>
      <c r="G94" s="57"/>
      <c r="H94" s="44"/>
      <c r="I94" s="44"/>
    </row>
    <row r="95" spans="1:14" s="56" customFormat="1" hidden="1" x14ac:dyDescent="0.35">
      <c r="A95" s="44"/>
      <c r="B95" s="59"/>
      <c r="C95" s="44"/>
      <c r="D95" s="44"/>
      <c r="E95" s="44"/>
      <c r="F95" s="57"/>
      <c r="G95" s="57"/>
      <c r="H95" s="44"/>
      <c r="I95" s="44"/>
    </row>
    <row r="96" spans="1:14" s="56" customFormat="1" hidden="1" x14ac:dyDescent="0.35">
      <c r="A96" s="44"/>
      <c r="B96" s="60" t="s">
        <v>50</v>
      </c>
      <c r="C96" s="201" t="s">
        <v>51</v>
      </c>
      <c r="D96" s="202"/>
      <c r="E96" s="60" t="s">
        <v>19</v>
      </c>
      <c r="F96" s="57"/>
      <c r="G96" s="57"/>
      <c r="H96" s="44"/>
      <c r="I96" s="44"/>
    </row>
    <row r="97" spans="1:9" s="56" customFormat="1" ht="13.15" hidden="1" customHeight="1" x14ac:dyDescent="0.35">
      <c r="A97" s="44"/>
      <c r="B97" s="61" t="s">
        <v>2</v>
      </c>
      <c r="C97" s="203" t="s">
        <v>103</v>
      </c>
      <c r="D97" s="204"/>
      <c r="E97" s="49">
        <v>0</v>
      </c>
      <c r="F97" s="57"/>
      <c r="G97" s="57"/>
      <c r="H97" s="44"/>
      <c r="I97" s="44"/>
    </row>
    <row r="98" spans="1:9" s="56" customFormat="1" hidden="1" x14ac:dyDescent="0.35">
      <c r="A98" s="44"/>
      <c r="B98" s="205" t="s">
        <v>21</v>
      </c>
      <c r="C98" s="205"/>
      <c r="D98" s="205"/>
      <c r="E98" s="58">
        <f>E97</f>
        <v>0</v>
      </c>
      <c r="F98" s="57"/>
      <c r="G98" s="57"/>
      <c r="H98" s="44"/>
      <c r="I98" s="44"/>
    </row>
    <row r="99" spans="1:9" s="56" customFormat="1" x14ac:dyDescent="0.35">
      <c r="A99" s="44"/>
      <c r="B99" s="47"/>
      <c r="C99" s="44"/>
      <c r="D99" s="44"/>
      <c r="E99" s="44"/>
      <c r="F99" s="57"/>
      <c r="G99" s="57"/>
      <c r="H99" s="44"/>
      <c r="I99" s="44"/>
    </row>
    <row r="100" spans="1:9" s="56" customFormat="1" hidden="1" x14ac:dyDescent="0.35">
      <c r="A100" s="44"/>
      <c r="B100" s="200" t="s">
        <v>52</v>
      </c>
      <c r="C100" s="200"/>
      <c r="D100" s="200"/>
      <c r="E100" s="200"/>
      <c r="F100" s="57"/>
      <c r="G100" s="57"/>
      <c r="H100" s="44"/>
      <c r="I100" s="44"/>
    </row>
    <row r="101" spans="1:9" s="56" customFormat="1" hidden="1" x14ac:dyDescent="0.35">
      <c r="A101" s="44"/>
      <c r="B101" s="59"/>
      <c r="C101" s="44"/>
      <c r="D101" s="44"/>
      <c r="E101" s="44"/>
      <c r="F101" s="57"/>
      <c r="G101" s="57"/>
      <c r="H101" s="44"/>
      <c r="I101" s="44"/>
    </row>
    <row r="102" spans="1:9" s="56" customFormat="1" hidden="1" x14ac:dyDescent="0.35">
      <c r="A102" s="44"/>
      <c r="B102" s="60">
        <v>4</v>
      </c>
      <c r="C102" s="60" t="s">
        <v>53</v>
      </c>
      <c r="D102" s="60" t="s">
        <v>24</v>
      </c>
      <c r="E102" s="60" t="s">
        <v>19</v>
      </c>
      <c r="F102" s="57"/>
      <c r="G102" s="57"/>
      <c r="H102" s="44"/>
      <c r="I102" s="44"/>
    </row>
    <row r="103" spans="1:9" s="56" customFormat="1" hidden="1" x14ac:dyDescent="0.35">
      <c r="A103" s="44"/>
      <c r="B103" s="61" t="s">
        <v>46</v>
      </c>
      <c r="C103" s="62" t="s">
        <v>47</v>
      </c>
      <c r="D103" s="21">
        <f>D93</f>
        <v>3.56E-2</v>
      </c>
      <c r="E103" s="29">
        <f>E93</f>
        <v>120.95579999999998</v>
      </c>
      <c r="F103" s="57"/>
      <c r="G103" s="57"/>
      <c r="H103" s="44"/>
      <c r="I103" s="44"/>
    </row>
    <row r="104" spans="1:9" s="56" customFormat="1" hidden="1" x14ac:dyDescent="0.35">
      <c r="A104" s="44"/>
      <c r="B104" s="61" t="s">
        <v>50</v>
      </c>
      <c r="C104" s="196" t="s">
        <v>51</v>
      </c>
      <c r="D104" s="197"/>
      <c r="E104" s="29">
        <f>E98</f>
        <v>0</v>
      </c>
      <c r="F104" s="57"/>
      <c r="G104" s="57"/>
      <c r="H104" s="44"/>
      <c r="I104" s="44"/>
    </row>
    <row r="105" spans="1:9" hidden="1" x14ac:dyDescent="0.35">
      <c r="B105" s="206" t="s">
        <v>21</v>
      </c>
      <c r="C105" s="207"/>
      <c r="D105" s="208"/>
      <c r="E105" s="40">
        <f>SUM(E103:E104)</f>
        <v>120.95579999999998</v>
      </c>
    </row>
    <row r="106" spans="1:9" hidden="1" x14ac:dyDescent="0.35"/>
    <row r="107" spans="1:9" x14ac:dyDescent="0.35">
      <c r="B107" s="195" t="s">
        <v>54</v>
      </c>
      <c r="C107" s="195"/>
      <c r="D107" s="195"/>
      <c r="E107" s="195"/>
    </row>
    <row r="109" spans="1:9" x14ac:dyDescent="0.35">
      <c r="B109" s="33">
        <v>5</v>
      </c>
      <c r="C109" s="188" t="s">
        <v>55</v>
      </c>
      <c r="D109" s="188"/>
      <c r="E109" s="33" t="s">
        <v>19</v>
      </c>
    </row>
    <row r="110" spans="1:9" ht="26.25" customHeight="1" x14ac:dyDescent="0.35">
      <c r="B110" s="18" t="s">
        <v>2</v>
      </c>
      <c r="C110" s="193" t="s">
        <v>200</v>
      </c>
      <c r="D110" s="193"/>
      <c r="E110" s="24"/>
    </row>
    <row r="111" spans="1:9" ht="13.5" customHeight="1" x14ac:dyDescent="0.35">
      <c r="B111" s="18" t="s">
        <v>3</v>
      </c>
      <c r="C111" s="193" t="s">
        <v>171</v>
      </c>
      <c r="D111" s="193"/>
      <c r="E111" s="24">
        <f>'Quadro Unif Mat Insumos'!G44</f>
        <v>3.82</v>
      </c>
    </row>
    <row r="112" spans="1:9" ht="13.5" customHeight="1" x14ac:dyDescent="0.35">
      <c r="B112" s="18" t="s">
        <v>4</v>
      </c>
      <c r="C112" s="193" t="s">
        <v>172</v>
      </c>
      <c r="D112" s="193"/>
      <c r="E112" s="24">
        <f>'Quadro Unif Mat Insumos'!G30</f>
        <v>8.2375000000000007</v>
      </c>
    </row>
    <row r="113" spans="2:6" x14ac:dyDescent="0.35">
      <c r="B113" s="188" t="s">
        <v>30</v>
      </c>
      <c r="C113" s="188"/>
      <c r="D113" s="188"/>
      <c r="E113" s="41">
        <f>SUM(E110:E112)</f>
        <v>12.057500000000001</v>
      </c>
    </row>
    <row r="115" spans="2:6" x14ac:dyDescent="0.35">
      <c r="B115" s="195" t="s">
        <v>56</v>
      </c>
      <c r="C115" s="195"/>
      <c r="D115" s="195"/>
      <c r="E115" s="195"/>
    </row>
    <row r="117" spans="2:6" x14ac:dyDescent="0.35">
      <c r="B117" s="33">
        <v>6</v>
      </c>
      <c r="C117" s="43" t="s">
        <v>57</v>
      </c>
      <c r="D117" s="33" t="s">
        <v>24</v>
      </c>
      <c r="E117" s="33" t="s">
        <v>19</v>
      </c>
    </row>
    <row r="118" spans="2:6" x14ac:dyDescent="0.35">
      <c r="B118" s="18" t="s">
        <v>2</v>
      </c>
      <c r="C118" s="16" t="s">
        <v>58</v>
      </c>
      <c r="D118" s="21">
        <v>2.5000000000000001E-2</v>
      </c>
      <c r="E118" s="20">
        <f>ROUND((E134*D118),2)</f>
        <v>172.41</v>
      </c>
    </row>
    <row r="119" spans="2:6" x14ac:dyDescent="0.35">
      <c r="B119" s="18" t="s">
        <v>3</v>
      </c>
      <c r="C119" s="16" t="s">
        <v>59</v>
      </c>
      <c r="D119" s="21">
        <v>6.0879999999999997E-3</v>
      </c>
      <c r="E119" s="20">
        <f>ROUND((E134+E118)*D119,2)</f>
        <v>43.04</v>
      </c>
    </row>
    <row r="120" spans="2:6" x14ac:dyDescent="0.35">
      <c r="B120" s="17" t="s">
        <v>4</v>
      </c>
      <c r="C120" s="54" t="s">
        <v>60</v>
      </c>
      <c r="D120" s="28">
        <f>SUM(D121:D123)</f>
        <v>5.6499999999999995E-2</v>
      </c>
      <c r="E120" s="20"/>
      <c r="F120" s="5"/>
    </row>
    <row r="121" spans="2:6" x14ac:dyDescent="0.35">
      <c r="B121" s="18"/>
      <c r="C121" s="16" t="s">
        <v>61</v>
      </c>
      <c r="D121" s="27">
        <f>'VIG 12x36 - DIURNO'!D120</f>
        <v>6.4999999999999997E-3</v>
      </c>
      <c r="E121" s="20">
        <f ca="1">ROUND($E$136*D121,2)</f>
        <v>49</v>
      </c>
    </row>
    <row r="122" spans="2:6" x14ac:dyDescent="0.35">
      <c r="B122" s="18"/>
      <c r="C122" s="16" t="s">
        <v>62</v>
      </c>
      <c r="D122" s="27">
        <f>'VIG 12x36 - DIURNO'!D121</f>
        <v>0.03</v>
      </c>
      <c r="E122" s="20">
        <f ca="1">ROUND($E$136*D122,2)</f>
        <v>226.14</v>
      </c>
    </row>
    <row r="123" spans="2:6" x14ac:dyDescent="0.35">
      <c r="B123" s="18"/>
      <c r="C123" s="16" t="s">
        <v>63</v>
      </c>
      <c r="D123" s="27">
        <v>0.02</v>
      </c>
      <c r="E123" s="20">
        <f ca="1">ROUND($E$136*D123,2)</f>
        <v>150.76</v>
      </c>
      <c r="F123" s="15"/>
    </row>
    <row r="124" spans="2:6" x14ac:dyDescent="0.35">
      <c r="B124" s="188" t="s">
        <v>30</v>
      </c>
      <c r="C124" s="188"/>
      <c r="D124" s="42">
        <f>ROUND(((1+D118)*(1+D119))/(1-D120),4)-1</f>
        <v>9.2999999999999972E-2</v>
      </c>
      <c r="E124" s="41">
        <f ca="1">SUM(E118:E123)</f>
        <v>641.34999999999991</v>
      </c>
      <c r="F124" s="13"/>
    </row>
    <row r="126" spans="2:6" x14ac:dyDescent="0.35">
      <c r="B126" s="195" t="s">
        <v>64</v>
      </c>
      <c r="C126" s="195"/>
      <c r="D126" s="195"/>
      <c r="E126" s="195"/>
    </row>
    <row r="128" spans="2:6" x14ac:dyDescent="0.35">
      <c r="B128" s="33"/>
      <c r="C128" s="188" t="s">
        <v>65</v>
      </c>
      <c r="D128" s="188"/>
      <c r="E128" s="33" t="s">
        <v>19</v>
      </c>
    </row>
    <row r="129" spans="2:8" x14ac:dyDescent="0.35">
      <c r="B129" s="18" t="s">
        <v>2</v>
      </c>
      <c r="C129" s="193" t="s">
        <v>17</v>
      </c>
      <c r="D129" s="193"/>
      <c r="E129" s="30">
        <f>E23</f>
        <v>3397.6425077999993</v>
      </c>
    </row>
    <row r="130" spans="2:8" x14ac:dyDescent="0.35">
      <c r="B130" s="18" t="s">
        <v>3</v>
      </c>
      <c r="C130" s="193" t="s">
        <v>22</v>
      </c>
      <c r="D130" s="193"/>
      <c r="E130" s="30">
        <f>E64</f>
        <v>3152.5549000000001</v>
      </c>
    </row>
    <row r="131" spans="2:8" x14ac:dyDescent="0.35">
      <c r="B131" s="18" t="s">
        <v>4</v>
      </c>
      <c r="C131" s="193" t="s">
        <v>37</v>
      </c>
      <c r="D131" s="193"/>
      <c r="E131" s="30">
        <f>E76</f>
        <v>213.37189999999998</v>
      </c>
    </row>
    <row r="132" spans="2:8" x14ac:dyDescent="0.35">
      <c r="B132" s="18" t="s">
        <v>5</v>
      </c>
      <c r="C132" s="193" t="s">
        <v>44</v>
      </c>
      <c r="D132" s="193"/>
      <c r="E132" s="30">
        <f>E105</f>
        <v>120.95579999999998</v>
      </c>
      <c r="F132" s="5"/>
    </row>
    <row r="133" spans="2:8" x14ac:dyDescent="0.35">
      <c r="B133" s="18" t="s">
        <v>6</v>
      </c>
      <c r="C133" s="193" t="s">
        <v>54</v>
      </c>
      <c r="D133" s="193"/>
      <c r="E133" s="31">
        <f>E113</f>
        <v>12.057500000000001</v>
      </c>
    </row>
    <row r="134" spans="2:8" x14ac:dyDescent="0.35">
      <c r="B134" s="194" t="s">
        <v>66</v>
      </c>
      <c r="C134" s="194"/>
      <c r="D134" s="194"/>
      <c r="E134" s="32">
        <f>SUM(E129:E133)</f>
        <v>6896.5826077999991</v>
      </c>
    </row>
    <row r="135" spans="2:8" ht="16.5" customHeight="1" x14ac:dyDescent="0.35">
      <c r="B135" s="18" t="s">
        <v>7</v>
      </c>
      <c r="C135" s="209" t="s">
        <v>67</v>
      </c>
      <c r="D135" s="209"/>
      <c r="E135" s="30">
        <f ca="1">E124</f>
        <v>641.34999999999991</v>
      </c>
    </row>
    <row r="136" spans="2:8" x14ac:dyDescent="0.35">
      <c r="B136" s="194" t="s">
        <v>73</v>
      </c>
      <c r="C136" s="194"/>
      <c r="D136" s="194"/>
      <c r="E136" s="32">
        <f ca="1">ROUND(E134+E135,2)</f>
        <v>7537.93</v>
      </c>
      <c r="F136" s="11">
        <f ca="1">E136/E23</f>
        <v>2.2185765520342722</v>
      </c>
      <c r="G136" s="12" t="s">
        <v>68</v>
      </c>
      <c r="H136" s="50"/>
    </row>
    <row r="137" spans="2:8" ht="16.5" customHeight="1" x14ac:dyDescent="0.35">
      <c r="B137" s="188" t="s">
        <v>104</v>
      </c>
      <c r="C137" s="188"/>
      <c r="D137" s="33">
        <v>2</v>
      </c>
      <c r="E137" s="34">
        <f ca="1">ROUND(E136*D137,2)</f>
        <v>15075.86</v>
      </c>
      <c r="H137" s="50">
        <f ca="1">E137*12</f>
        <v>180910.32</v>
      </c>
    </row>
    <row r="138" spans="2:8" x14ac:dyDescent="0.35">
      <c r="E138" s="3"/>
      <c r="H138" s="50"/>
    </row>
    <row r="139" spans="2:8" ht="16.5" customHeight="1" x14ac:dyDescent="0.35">
      <c r="B139" s="188" t="s">
        <v>187</v>
      </c>
      <c r="C139" s="188"/>
      <c r="D139" s="188"/>
      <c r="E139" s="121">
        <f ca="1">E136/E23</f>
        <v>2.2185765520342722</v>
      </c>
    </row>
  </sheetData>
  <mergeCells count="64">
    <mergeCell ref="B139:D139"/>
    <mergeCell ref="B137:C137"/>
    <mergeCell ref="C131:D131"/>
    <mergeCell ref="C132:D132"/>
    <mergeCell ref="C133:D133"/>
    <mergeCell ref="B134:D134"/>
    <mergeCell ref="C135:D135"/>
    <mergeCell ref="B136:D136"/>
    <mergeCell ref="C130:D130"/>
    <mergeCell ref="B105:D105"/>
    <mergeCell ref="B107:E107"/>
    <mergeCell ref="C109:D109"/>
    <mergeCell ref="C110:D110"/>
    <mergeCell ref="C111:D111"/>
    <mergeCell ref="B113:D113"/>
    <mergeCell ref="B115:E115"/>
    <mergeCell ref="B124:C124"/>
    <mergeCell ref="B126:E126"/>
    <mergeCell ref="C128:D128"/>
    <mergeCell ref="C129:D129"/>
    <mergeCell ref="C112:D112"/>
    <mergeCell ref="C104:D104"/>
    <mergeCell ref="B78:E78"/>
    <mergeCell ref="B80:E80"/>
    <mergeCell ref="B89:C89"/>
    <mergeCell ref="F90:G90"/>
    <mergeCell ref="F92:G92"/>
    <mergeCell ref="B93:C93"/>
    <mergeCell ref="B94:E94"/>
    <mergeCell ref="C96:D96"/>
    <mergeCell ref="C97:D97"/>
    <mergeCell ref="B98:D98"/>
    <mergeCell ref="B100:E100"/>
    <mergeCell ref="B76:C76"/>
    <mergeCell ref="B35:E35"/>
    <mergeCell ref="B46:C46"/>
    <mergeCell ref="B48:E48"/>
    <mergeCell ref="B56:D56"/>
    <mergeCell ref="B58:E58"/>
    <mergeCell ref="C60:D60"/>
    <mergeCell ref="C61:D61"/>
    <mergeCell ref="C62:D62"/>
    <mergeCell ref="C63:D63"/>
    <mergeCell ref="B64:D64"/>
    <mergeCell ref="B66:E66"/>
    <mergeCell ref="B33:C33"/>
    <mergeCell ref="C8:D8"/>
    <mergeCell ref="B9:E9"/>
    <mergeCell ref="C10:D10"/>
    <mergeCell ref="C11:D11"/>
    <mergeCell ref="C12:D12"/>
    <mergeCell ref="C13:D13"/>
    <mergeCell ref="C14:D14"/>
    <mergeCell ref="B16:E16"/>
    <mergeCell ref="B23:D23"/>
    <mergeCell ref="B25:E25"/>
    <mergeCell ref="B27:E27"/>
    <mergeCell ref="C7:D7"/>
    <mergeCell ref="B1:E1"/>
    <mergeCell ref="B2:E2"/>
    <mergeCell ref="B3:E3"/>
    <mergeCell ref="C4:D4"/>
    <mergeCell ref="C5:D5"/>
    <mergeCell ref="C6:D6"/>
  </mergeCells>
  <conditionalFormatting sqref="E23:E95">
    <cfRule type="cellIs" dxfId="1" priority="1" operator="greaterThan">
      <formula>#REF!</formula>
    </cfRule>
  </conditionalFormatting>
  <conditionalFormatting sqref="E97">
    <cfRule type="cellIs" dxfId="0" priority="3" operator="greaterThan">
      <formula>#REF!</formula>
    </cfRule>
  </conditionalFormatting>
  <printOptions horizontalCentered="1"/>
  <pageMargins left="0.39370078740157483" right="0.39370078740157483" top="1.3779527559055118" bottom="0.98425196850393704" header="0.31496062992125984" footer="0.31496062992125984"/>
  <pageSetup paperSize="9" scale="77" fitToWidth="2" fitToHeight="2" orientation="portrait" r:id="rId1"/>
  <headerFooter>
    <oddHeader>&amp;C&amp;G</oddHeader>
  </headerFooter>
  <rowBreaks count="1" manualBreakCount="1">
    <brk id="65" min="1" max="4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E67D0-2751-49DF-AE7C-851957E66C05}">
  <dimension ref="B2:G44"/>
  <sheetViews>
    <sheetView zoomScale="115" zoomScaleNormal="115" zoomScaleSheetLayoutView="120" workbookViewId="0">
      <selection activeCell="K5" sqref="J5:K33"/>
    </sheetView>
  </sheetViews>
  <sheetFormatPr defaultColWidth="9.1796875" defaultRowHeight="15" x14ac:dyDescent="0.3"/>
  <cols>
    <col min="1" max="1" width="9.1796875" style="88"/>
    <col min="2" max="2" width="5.81640625" style="88" bestFit="1" customWidth="1"/>
    <col min="3" max="3" width="35.7265625" style="88" bestFit="1" customWidth="1"/>
    <col min="4" max="4" width="14.26953125" style="89" bestFit="1" customWidth="1"/>
    <col min="5" max="5" width="12.7265625" style="88" bestFit="1" customWidth="1"/>
    <col min="6" max="6" width="16.7265625" style="120" customWidth="1"/>
    <col min="7" max="7" width="14.26953125" style="88" bestFit="1" customWidth="1"/>
    <col min="8" max="8" width="17" style="88" customWidth="1"/>
    <col min="9" max="16384" width="9.1796875" style="88"/>
  </cols>
  <sheetData>
    <row r="2" spans="2:7" x14ac:dyDescent="0.3">
      <c r="B2" s="224" t="s">
        <v>158</v>
      </c>
      <c r="C2" s="224"/>
      <c r="D2" s="224"/>
      <c r="E2" s="224"/>
      <c r="F2" s="224"/>
      <c r="G2" s="224"/>
    </row>
    <row r="3" spans="2:7" x14ac:dyDescent="0.3">
      <c r="B3" s="223" t="s">
        <v>157</v>
      </c>
      <c r="C3" s="223"/>
      <c r="D3" s="223"/>
      <c r="E3" s="223"/>
      <c r="F3" s="223"/>
      <c r="G3" s="223"/>
    </row>
    <row r="4" spans="2:7" x14ac:dyDescent="0.3">
      <c r="D4" s="88"/>
      <c r="F4" s="117"/>
    </row>
    <row r="5" spans="2:7" x14ac:dyDescent="0.3">
      <c r="B5" s="225" t="s">
        <v>160</v>
      </c>
      <c r="C5" s="225"/>
      <c r="D5" s="225"/>
      <c r="E5" s="225"/>
      <c r="F5" s="225"/>
      <c r="G5" s="225"/>
    </row>
    <row r="6" spans="2:7" s="100" customFormat="1" ht="15.75" customHeight="1" x14ac:dyDescent="0.3">
      <c r="B6" s="98" t="s">
        <v>1</v>
      </c>
      <c r="C6" s="226" t="s">
        <v>163</v>
      </c>
      <c r="D6" s="226"/>
      <c r="E6" s="98" t="s">
        <v>164</v>
      </c>
      <c r="F6" s="99" t="s">
        <v>165</v>
      </c>
      <c r="G6" s="99" t="s">
        <v>69</v>
      </c>
    </row>
    <row r="7" spans="2:7" x14ac:dyDescent="0.3">
      <c r="B7" s="110">
        <v>1</v>
      </c>
      <c r="C7" s="221" t="s">
        <v>135</v>
      </c>
      <c r="D7" s="221"/>
      <c r="E7" s="111">
        <v>250.6</v>
      </c>
      <c r="F7" s="113">
        <v>4</v>
      </c>
      <c r="G7" s="111">
        <f t="shared" ref="G7:G18" si="0">ROUND(F7*E7,2)</f>
        <v>1002.4</v>
      </c>
    </row>
    <row r="8" spans="2:7" x14ac:dyDescent="0.3">
      <c r="B8" s="110">
        <v>2</v>
      </c>
      <c r="C8" s="221" t="s">
        <v>136</v>
      </c>
      <c r="D8" s="221"/>
      <c r="E8" s="111">
        <v>94.46</v>
      </c>
      <c r="F8" s="113">
        <v>4</v>
      </c>
      <c r="G8" s="111">
        <f t="shared" si="0"/>
        <v>377.84</v>
      </c>
    </row>
    <row r="9" spans="2:7" x14ac:dyDescent="0.3">
      <c r="B9" s="110">
        <v>3</v>
      </c>
      <c r="C9" s="221" t="s">
        <v>137</v>
      </c>
      <c r="D9" s="221"/>
      <c r="E9" s="111">
        <v>92.42</v>
      </c>
      <c r="F9" s="113">
        <v>4</v>
      </c>
      <c r="G9" s="111">
        <f t="shared" si="0"/>
        <v>369.68</v>
      </c>
    </row>
    <row r="10" spans="2:7" x14ac:dyDescent="0.3">
      <c r="B10" s="110">
        <v>4</v>
      </c>
      <c r="C10" s="221" t="s">
        <v>138</v>
      </c>
      <c r="D10" s="221"/>
      <c r="E10" s="111">
        <v>17.239999999999998</v>
      </c>
      <c r="F10" s="113">
        <v>4</v>
      </c>
      <c r="G10" s="111">
        <f t="shared" si="0"/>
        <v>68.959999999999994</v>
      </c>
    </row>
    <row r="11" spans="2:7" x14ac:dyDescent="0.3">
      <c r="B11" s="110">
        <v>5</v>
      </c>
      <c r="C11" s="221" t="s">
        <v>139</v>
      </c>
      <c r="D11" s="221"/>
      <c r="E11" s="111">
        <v>25.75</v>
      </c>
      <c r="F11" s="113">
        <v>1</v>
      </c>
      <c r="G11" s="111">
        <f t="shared" si="0"/>
        <v>25.75</v>
      </c>
    </row>
    <row r="12" spans="2:7" x14ac:dyDescent="0.3">
      <c r="B12" s="110">
        <v>6</v>
      </c>
      <c r="C12" s="221" t="s">
        <v>140</v>
      </c>
      <c r="D12" s="221"/>
      <c r="E12" s="111">
        <v>270.3</v>
      </c>
      <c r="F12" s="113">
        <v>2</v>
      </c>
      <c r="G12" s="111">
        <f t="shared" si="0"/>
        <v>540.6</v>
      </c>
    </row>
    <row r="13" spans="2:7" x14ac:dyDescent="0.3">
      <c r="B13" s="110">
        <v>7</v>
      </c>
      <c r="C13" s="221" t="s">
        <v>141</v>
      </c>
      <c r="D13" s="221"/>
      <c r="E13" s="111">
        <v>25.47</v>
      </c>
      <c r="F13" s="113">
        <v>6</v>
      </c>
      <c r="G13" s="111">
        <f t="shared" si="0"/>
        <v>152.82</v>
      </c>
    </row>
    <row r="14" spans="2:7" x14ac:dyDescent="0.3">
      <c r="B14" s="110">
        <v>8</v>
      </c>
      <c r="C14" s="221" t="s">
        <v>142</v>
      </c>
      <c r="D14" s="221"/>
      <c r="E14" s="111">
        <v>34.24</v>
      </c>
      <c r="F14" s="113">
        <v>1</v>
      </c>
      <c r="G14" s="111">
        <f t="shared" si="0"/>
        <v>34.24</v>
      </c>
    </row>
    <row r="15" spans="2:7" x14ac:dyDescent="0.3">
      <c r="B15" s="110">
        <v>9</v>
      </c>
      <c r="C15" s="221" t="s">
        <v>143</v>
      </c>
      <c r="D15" s="221"/>
      <c r="E15" s="111">
        <v>179.87</v>
      </c>
      <c r="F15" s="113">
        <v>1</v>
      </c>
      <c r="G15" s="111">
        <f t="shared" si="0"/>
        <v>179.87</v>
      </c>
    </row>
    <row r="16" spans="2:7" x14ac:dyDescent="0.3">
      <c r="B16" s="110">
        <v>10</v>
      </c>
      <c r="C16" s="221" t="s">
        <v>144</v>
      </c>
      <c r="D16" s="221"/>
      <c r="E16" s="111">
        <v>7.3</v>
      </c>
      <c r="F16" s="113">
        <v>1</v>
      </c>
      <c r="G16" s="111">
        <f t="shared" si="0"/>
        <v>7.3</v>
      </c>
    </row>
    <row r="17" spans="2:7" x14ac:dyDescent="0.3">
      <c r="B17" s="110">
        <v>11</v>
      </c>
      <c r="C17" s="221" t="s">
        <v>145</v>
      </c>
      <c r="D17" s="221"/>
      <c r="E17" s="111">
        <v>5.33</v>
      </c>
      <c r="F17" s="113">
        <v>1</v>
      </c>
      <c r="G17" s="111">
        <f t="shared" si="0"/>
        <v>5.33</v>
      </c>
    </row>
    <row r="18" spans="2:7" x14ac:dyDescent="0.3">
      <c r="B18" s="110">
        <v>12</v>
      </c>
      <c r="C18" s="221" t="s">
        <v>146</v>
      </c>
      <c r="D18" s="221"/>
      <c r="E18" s="111">
        <v>381.61</v>
      </c>
      <c r="F18" s="113">
        <v>1</v>
      </c>
      <c r="G18" s="111">
        <f t="shared" si="0"/>
        <v>381.61</v>
      </c>
    </row>
    <row r="19" spans="2:7" x14ac:dyDescent="0.3">
      <c r="B19" s="230" t="s">
        <v>179</v>
      </c>
      <c r="C19" s="230"/>
      <c r="D19" s="230"/>
      <c r="E19" s="230"/>
      <c r="F19" s="230"/>
      <c r="G19" s="111">
        <f>SUM(G7:G18)</f>
        <v>3146.4</v>
      </c>
    </row>
    <row r="20" spans="2:7" x14ac:dyDescent="0.3">
      <c r="B20" s="230" t="s">
        <v>178</v>
      </c>
      <c r="C20" s="230"/>
      <c r="D20" s="230"/>
      <c r="E20" s="230"/>
      <c r="F20" s="230"/>
      <c r="G20" s="112">
        <f>G19/12</f>
        <v>262.2</v>
      </c>
    </row>
    <row r="21" spans="2:7" ht="29.25" customHeight="1" x14ac:dyDescent="0.3">
      <c r="B21" s="220" t="s">
        <v>199</v>
      </c>
      <c r="C21" s="220"/>
      <c r="D21" s="220"/>
      <c r="E21" s="220"/>
      <c r="F21" s="220"/>
      <c r="G21" s="220"/>
    </row>
    <row r="22" spans="2:7" x14ac:dyDescent="0.3">
      <c r="B22" s="90"/>
      <c r="C22" s="90"/>
      <c r="D22" s="93"/>
      <c r="E22" s="90"/>
      <c r="F22" s="118"/>
      <c r="G22" s="90"/>
    </row>
    <row r="23" spans="2:7" x14ac:dyDescent="0.3">
      <c r="B23" s="227" t="s">
        <v>71</v>
      </c>
      <c r="C23" s="228"/>
      <c r="D23" s="228"/>
      <c r="E23" s="228"/>
      <c r="F23" s="228"/>
      <c r="G23" s="229"/>
    </row>
    <row r="24" spans="2:7" x14ac:dyDescent="0.3">
      <c r="B24" s="222" t="s">
        <v>1</v>
      </c>
      <c r="C24" s="222" t="s">
        <v>163</v>
      </c>
      <c r="D24" s="103" t="s">
        <v>161</v>
      </c>
      <c r="E24" s="104" t="s">
        <v>168</v>
      </c>
      <c r="F24" s="114" t="s">
        <v>162</v>
      </c>
      <c r="G24" s="108" t="s">
        <v>169</v>
      </c>
    </row>
    <row r="25" spans="2:7" ht="30" x14ac:dyDescent="0.3">
      <c r="B25" s="219"/>
      <c r="C25" s="219"/>
      <c r="D25" s="103" t="s">
        <v>164</v>
      </c>
      <c r="E25" s="104" t="s">
        <v>166</v>
      </c>
      <c r="F25" s="114" t="s">
        <v>167</v>
      </c>
      <c r="G25" s="108" t="s">
        <v>176</v>
      </c>
    </row>
    <row r="26" spans="2:7" x14ac:dyDescent="0.3">
      <c r="B26" s="91">
        <v>1</v>
      </c>
      <c r="C26" s="84" t="s">
        <v>147</v>
      </c>
      <c r="D26" s="85">
        <v>777.37</v>
      </c>
      <c r="E26" s="91">
        <v>1</v>
      </c>
      <c r="F26" s="115">
        <v>60</v>
      </c>
      <c r="G26" s="94">
        <f>ROUND(D26*E26/F26,2)</f>
        <v>12.96</v>
      </c>
    </row>
    <row r="27" spans="2:7" x14ac:dyDescent="0.3">
      <c r="B27" s="91">
        <v>2</v>
      </c>
      <c r="C27" s="84" t="s">
        <v>148</v>
      </c>
      <c r="D27" s="85">
        <v>1128.33</v>
      </c>
      <c r="E27" s="91">
        <v>1</v>
      </c>
      <c r="F27" s="115">
        <v>60</v>
      </c>
      <c r="G27" s="94">
        <f>ROUND(D27*E27/F27,2)</f>
        <v>18.809999999999999</v>
      </c>
    </row>
    <row r="28" spans="2:7" x14ac:dyDescent="0.3">
      <c r="B28" s="91">
        <v>3</v>
      </c>
      <c r="C28" s="84" t="s">
        <v>149</v>
      </c>
      <c r="D28" s="85">
        <v>71</v>
      </c>
      <c r="E28" s="91">
        <v>1</v>
      </c>
      <c r="F28" s="115">
        <v>60</v>
      </c>
      <c r="G28" s="94">
        <f>ROUND(D28*E28/F28,2)</f>
        <v>1.18</v>
      </c>
    </row>
    <row r="29" spans="2:7" x14ac:dyDescent="0.3">
      <c r="B29" s="210" t="s">
        <v>177</v>
      </c>
      <c r="C29" s="211"/>
      <c r="D29" s="211"/>
      <c r="E29" s="211"/>
      <c r="F29" s="212"/>
      <c r="G29" s="94">
        <f>SUM(G26:G28)</f>
        <v>32.950000000000003</v>
      </c>
    </row>
    <row r="30" spans="2:7" x14ac:dyDescent="0.3">
      <c r="B30" s="92"/>
      <c r="C30" s="210" t="s">
        <v>178</v>
      </c>
      <c r="D30" s="211"/>
      <c r="E30" s="211"/>
      <c r="F30" s="212"/>
      <c r="G30" s="95">
        <f>G29/4</f>
        <v>8.2375000000000007</v>
      </c>
    </row>
    <row r="31" spans="2:7" x14ac:dyDescent="0.3">
      <c r="B31" s="90"/>
      <c r="C31" s="90"/>
      <c r="D31" s="93"/>
      <c r="E31" s="90"/>
      <c r="F31" s="118"/>
      <c r="G31" s="90"/>
    </row>
    <row r="32" spans="2:7" x14ac:dyDescent="0.3">
      <c r="B32" s="213" t="s">
        <v>159</v>
      </c>
      <c r="C32" s="214"/>
      <c r="D32" s="214"/>
      <c r="E32" s="214"/>
      <c r="F32" s="214"/>
      <c r="G32" s="215"/>
    </row>
    <row r="33" spans="2:7" x14ac:dyDescent="0.3">
      <c r="B33" s="216" t="s">
        <v>1</v>
      </c>
      <c r="C33" s="218" t="s">
        <v>163</v>
      </c>
      <c r="D33" s="105" t="s">
        <v>161</v>
      </c>
      <c r="E33" s="106" t="s">
        <v>168</v>
      </c>
      <c r="F33" s="116" t="s">
        <v>162</v>
      </c>
      <c r="G33" s="107" t="s">
        <v>169</v>
      </c>
    </row>
    <row r="34" spans="2:7" ht="30" x14ac:dyDescent="0.3">
      <c r="B34" s="217"/>
      <c r="C34" s="219"/>
      <c r="D34" s="101" t="s">
        <v>164</v>
      </c>
      <c r="E34" s="102" t="s">
        <v>166</v>
      </c>
      <c r="F34" s="119" t="s">
        <v>167</v>
      </c>
      <c r="G34" s="109" t="s">
        <v>176</v>
      </c>
    </row>
    <row r="35" spans="2:7" x14ac:dyDescent="0.3">
      <c r="B35" s="91">
        <v>1</v>
      </c>
      <c r="C35" s="84" t="s">
        <v>150</v>
      </c>
      <c r="D35" s="85">
        <v>39</v>
      </c>
      <c r="E35" s="91">
        <v>1</v>
      </c>
      <c r="F35" s="115">
        <v>30</v>
      </c>
      <c r="G35" s="86">
        <f>ROUND(D35*E35/F35,2)</f>
        <v>1.3</v>
      </c>
    </row>
    <row r="36" spans="2:7" x14ac:dyDescent="0.3">
      <c r="B36" s="91">
        <v>2</v>
      </c>
      <c r="C36" s="84" t="s">
        <v>151</v>
      </c>
      <c r="D36" s="85">
        <v>5.0999999999999996</v>
      </c>
      <c r="E36" s="91">
        <v>1</v>
      </c>
      <c r="F36" s="115">
        <v>30</v>
      </c>
      <c r="G36" s="86">
        <f t="shared" ref="G36:G42" si="1">ROUND(D36*E36/F36,2)</f>
        <v>0.17</v>
      </c>
    </row>
    <row r="37" spans="2:7" x14ac:dyDescent="0.3">
      <c r="B37" s="91">
        <v>3</v>
      </c>
      <c r="C37" s="84" t="s">
        <v>152</v>
      </c>
      <c r="D37" s="85">
        <v>6.5</v>
      </c>
      <c r="E37" s="91">
        <v>1</v>
      </c>
      <c r="F37" s="115">
        <v>30</v>
      </c>
      <c r="G37" s="86">
        <f t="shared" si="1"/>
        <v>0.22</v>
      </c>
    </row>
    <row r="38" spans="2:7" x14ac:dyDescent="0.3">
      <c r="B38" s="91">
        <v>4</v>
      </c>
      <c r="C38" s="84" t="s">
        <v>153</v>
      </c>
      <c r="D38" s="85">
        <v>10</v>
      </c>
      <c r="E38" s="91">
        <v>1</v>
      </c>
      <c r="F38" s="115">
        <v>30</v>
      </c>
      <c r="G38" s="86">
        <f t="shared" si="1"/>
        <v>0.33</v>
      </c>
    </row>
    <row r="39" spans="2:7" x14ac:dyDescent="0.3">
      <c r="B39" s="91">
        <v>5</v>
      </c>
      <c r="C39" s="84" t="s">
        <v>180</v>
      </c>
      <c r="D39" s="85">
        <v>48</v>
      </c>
      <c r="E39" s="91">
        <v>1</v>
      </c>
      <c r="F39" s="115">
        <v>36</v>
      </c>
      <c r="G39" s="86">
        <f t="shared" si="1"/>
        <v>1.33</v>
      </c>
    </row>
    <row r="40" spans="2:7" x14ac:dyDescent="0.3">
      <c r="B40" s="91">
        <v>6</v>
      </c>
      <c r="C40" s="84" t="s">
        <v>154</v>
      </c>
      <c r="D40" s="85">
        <v>12</v>
      </c>
      <c r="E40" s="91">
        <v>1</v>
      </c>
      <c r="F40" s="115">
        <v>6</v>
      </c>
      <c r="G40" s="86">
        <f t="shared" si="1"/>
        <v>2</v>
      </c>
    </row>
    <row r="41" spans="2:7" x14ac:dyDescent="0.3">
      <c r="B41" s="91">
        <v>7</v>
      </c>
      <c r="C41" s="84" t="s">
        <v>155</v>
      </c>
      <c r="D41" s="85">
        <v>1</v>
      </c>
      <c r="E41" s="91">
        <v>4</v>
      </c>
      <c r="F41" s="115">
        <v>3</v>
      </c>
      <c r="G41" s="86">
        <f t="shared" si="1"/>
        <v>1.33</v>
      </c>
    </row>
    <row r="42" spans="2:7" x14ac:dyDescent="0.3">
      <c r="B42" s="91">
        <v>8</v>
      </c>
      <c r="C42" s="84" t="s">
        <v>156</v>
      </c>
      <c r="D42" s="85">
        <v>516</v>
      </c>
      <c r="E42" s="91">
        <v>1</v>
      </c>
      <c r="F42" s="115">
        <v>60</v>
      </c>
      <c r="G42" s="86">
        <f t="shared" si="1"/>
        <v>8.6</v>
      </c>
    </row>
    <row r="43" spans="2:7" x14ac:dyDescent="0.3">
      <c r="B43" s="210" t="s">
        <v>177</v>
      </c>
      <c r="C43" s="211"/>
      <c r="D43" s="211"/>
      <c r="E43" s="211"/>
      <c r="F43" s="212"/>
      <c r="G43" s="86">
        <f>SUM(G35:G42)</f>
        <v>15.28</v>
      </c>
    </row>
    <row r="44" spans="2:7" x14ac:dyDescent="0.3">
      <c r="B44" s="210" t="s">
        <v>178</v>
      </c>
      <c r="C44" s="211"/>
      <c r="D44" s="211"/>
      <c r="E44" s="211"/>
      <c r="F44" s="212"/>
      <c r="G44" s="87">
        <f>G43/4</f>
        <v>3.82</v>
      </c>
    </row>
  </sheetData>
  <mergeCells count="29">
    <mergeCell ref="B3:G3"/>
    <mergeCell ref="B2:G2"/>
    <mergeCell ref="B5:G5"/>
    <mergeCell ref="C6:D6"/>
    <mergeCell ref="B23:G23"/>
    <mergeCell ref="C7:D7"/>
    <mergeCell ref="C8:D8"/>
    <mergeCell ref="C9:D9"/>
    <mergeCell ref="C10:D10"/>
    <mergeCell ref="C11:D11"/>
    <mergeCell ref="C12:D12"/>
    <mergeCell ref="C18:D18"/>
    <mergeCell ref="B19:F19"/>
    <mergeCell ref="B20:F20"/>
    <mergeCell ref="C13:D13"/>
    <mergeCell ref="C14:D14"/>
    <mergeCell ref="B21:G21"/>
    <mergeCell ref="C15:D15"/>
    <mergeCell ref="C16:D16"/>
    <mergeCell ref="C17:D17"/>
    <mergeCell ref="B24:B25"/>
    <mergeCell ref="C24:C25"/>
    <mergeCell ref="B43:F43"/>
    <mergeCell ref="B44:F44"/>
    <mergeCell ref="B32:G32"/>
    <mergeCell ref="B29:F29"/>
    <mergeCell ref="C30:F30"/>
    <mergeCell ref="B33:B34"/>
    <mergeCell ref="C33:C34"/>
  </mergeCells>
  <pageMargins left="0.51181102362204722" right="0.51181102362204722" top="1.5748031496062993" bottom="0.78740157480314965" header="0.31496062992125984" footer="0.31496062992125984"/>
  <pageSetup paperSize="9" scale="78" orientation="portrait" r:id="rId1"/>
  <headerFooter>
    <oddHeader>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76BAC-6ADD-446E-A682-CE40365C29DA}">
  <dimension ref="B2:E19"/>
  <sheetViews>
    <sheetView tabSelected="1" topLeftCell="A7" workbookViewId="0">
      <selection activeCell="B4" sqref="B4"/>
    </sheetView>
  </sheetViews>
  <sheetFormatPr defaultRowHeight="14.5" x14ac:dyDescent="0.35"/>
  <cols>
    <col min="2" max="5" width="27.36328125" customWidth="1"/>
  </cols>
  <sheetData>
    <row r="2" spans="2:5" x14ac:dyDescent="0.35">
      <c r="B2" s="231" t="s">
        <v>210</v>
      </c>
      <c r="C2" s="231"/>
      <c r="D2" s="231"/>
      <c r="E2" s="231"/>
    </row>
    <row r="3" spans="2:5" x14ac:dyDescent="0.35">
      <c r="B3" s="145" t="s">
        <v>211</v>
      </c>
      <c r="C3" s="146" t="s">
        <v>212</v>
      </c>
      <c r="D3" s="146" t="s">
        <v>213</v>
      </c>
      <c r="E3" s="145" t="s">
        <v>214</v>
      </c>
    </row>
    <row r="4" spans="2:5" x14ac:dyDescent="0.35">
      <c r="B4" s="149" t="s">
        <v>215</v>
      </c>
      <c r="C4" s="148">
        <f>ROUND(C5/28*8,2)</f>
        <v>7509.5</v>
      </c>
      <c r="D4" s="148">
        <f ca="1">ROUND(D5/28*8,2)</f>
        <v>7875.89</v>
      </c>
      <c r="E4" s="148">
        <f ca="1">D4-C4</f>
        <v>366.39000000000033</v>
      </c>
    </row>
    <row r="5" spans="2:5" x14ac:dyDescent="0.35">
      <c r="B5" s="150">
        <v>45717</v>
      </c>
      <c r="C5" s="148">
        <v>26283.24</v>
      </c>
      <c r="D5" s="148">
        <f ca="1">'RESUMO MATRIZ'!G$43</f>
        <v>27565.599999999999</v>
      </c>
      <c r="E5" s="148">
        <f t="shared" ref="E5:E16" ca="1" si="0">D5-C5</f>
        <v>1282.3599999999969</v>
      </c>
    </row>
    <row r="6" spans="2:5" x14ac:dyDescent="0.35">
      <c r="B6" s="150">
        <v>45748</v>
      </c>
      <c r="C6" s="148">
        <v>26283.24</v>
      </c>
      <c r="D6" s="148">
        <f ca="1">'RESUMO MATRIZ'!G$43</f>
        <v>27565.599999999999</v>
      </c>
      <c r="E6" s="148">
        <f t="shared" ca="1" si="0"/>
        <v>1282.3599999999969</v>
      </c>
    </row>
    <row r="7" spans="2:5" x14ac:dyDescent="0.35">
      <c r="B7" s="150">
        <v>45778</v>
      </c>
      <c r="C7" s="148">
        <v>26283.24</v>
      </c>
      <c r="D7" s="148">
        <f ca="1">'RESUMO MATRIZ'!G$43</f>
        <v>27565.599999999999</v>
      </c>
      <c r="E7" s="148">
        <f t="shared" ca="1" si="0"/>
        <v>1282.3599999999969</v>
      </c>
    </row>
    <row r="8" spans="2:5" x14ac:dyDescent="0.35">
      <c r="B8" s="150">
        <v>45809</v>
      </c>
      <c r="C8" s="148">
        <v>26283.24</v>
      </c>
      <c r="D8" s="148">
        <f ca="1">'RESUMO MATRIZ'!G$43</f>
        <v>27565.599999999999</v>
      </c>
      <c r="E8" s="148">
        <f t="shared" ca="1" si="0"/>
        <v>1282.3599999999969</v>
      </c>
    </row>
    <row r="9" spans="2:5" x14ac:dyDescent="0.35">
      <c r="B9" s="150">
        <v>45839</v>
      </c>
      <c r="C9" s="148">
        <v>26283.24</v>
      </c>
      <c r="D9" s="148">
        <f ca="1">'RESUMO MATRIZ'!G$43</f>
        <v>27565.599999999999</v>
      </c>
      <c r="E9" s="148">
        <f t="shared" ca="1" si="0"/>
        <v>1282.3599999999969</v>
      </c>
    </row>
    <row r="10" spans="2:5" x14ac:dyDescent="0.35">
      <c r="B10" s="150">
        <v>45870</v>
      </c>
      <c r="C10" s="148">
        <v>26283.24</v>
      </c>
      <c r="D10" s="148">
        <f ca="1">'RESUMO MATRIZ'!G$43</f>
        <v>27565.599999999999</v>
      </c>
      <c r="E10" s="148">
        <f t="shared" ca="1" si="0"/>
        <v>1282.3599999999969</v>
      </c>
    </row>
    <row r="11" spans="2:5" x14ac:dyDescent="0.35">
      <c r="B11" s="150">
        <v>45901</v>
      </c>
      <c r="C11" s="148">
        <v>26283.24</v>
      </c>
      <c r="D11" s="148">
        <f ca="1">'RESUMO MATRIZ'!G$43</f>
        <v>27565.599999999999</v>
      </c>
      <c r="E11" s="148">
        <f t="shared" ca="1" si="0"/>
        <v>1282.3599999999969</v>
      </c>
    </row>
    <row r="12" spans="2:5" x14ac:dyDescent="0.35">
      <c r="B12" s="150">
        <v>45931</v>
      </c>
      <c r="C12" s="148">
        <v>26283.24</v>
      </c>
      <c r="D12" s="148">
        <f ca="1">'RESUMO MATRIZ'!G$43</f>
        <v>27565.599999999999</v>
      </c>
      <c r="E12" s="148">
        <f t="shared" ca="1" si="0"/>
        <v>1282.3599999999969</v>
      </c>
    </row>
    <row r="13" spans="2:5" x14ac:dyDescent="0.35">
      <c r="B13" s="150">
        <v>45962</v>
      </c>
      <c r="C13" s="148">
        <v>26283.24</v>
      </c>
      <c r="D13" s="148">
        <f ca="1">'RESUMO MATRIZ'!G$43</f>
        <v>27565.599999999999</v>
      </c>
      <c r="E13" s="148">
        <f t="shared" ca="1" si="0"/>
        <v>1282.3599999999969</v>
      </c>
    </row>
    <row r="14" spans="2:5" x14ac:dyDescent="0.35">
      <c r="B14" s="150">
        <v>45992</v>
      </c>
      <c r="C14" s="148">
        <v>26283.24</v>
      </c>
      <c r="D14" s="148">
        <f ca="1">'RESUMO MATRIZ'!G$43</f>
        <v>27565.599999999999</v>
      </c>
      <c r="E14" s="148">
        <f t="shared" ca="1" si="0"/>
        <v>1282.3599999999969</v>
      </c>
    </row>
    <row r="15" spans="2:5" x14ac:dyDescent="0.35">
      <c r="B15" s="232">
        <v>2025</v>
      </c>
      <c r="C15" s="232"/>
      <c r="D15" s="232"/>
      <c r="E15" s="151">
        <f ca="1">SUM(E4:E14)</f>
        <v>13189.989999999969</v>
      </c>
    </row>
    <row r="16" spans="2:5" x14ac:dyDescent="0.35">
      <c r="B16" s="150">
        <v>46023</v>
      </c>
      <c r="C16" s="148">
        <v>26283.24</v>
      </c>
      <c r="D16" s="148">
        <f ca="1">'RESUMO MATRIZ'!G$43</f>
        <v>27565.599999999999</v>
      </c>
      <c r="E16" s="148">
        <f t="shared" ca="1" si="0"/>
        <v>1282.3599999999969</v>
      </c>
    </row>
    <row r="17" spans="2:5" x14ac:dyDescent="0.35">
      <c r="B17" s="150" t="s">
        <v>217</v>
      </c>
      <c r="C17" s="148">
        <f>ROUND(C16/28*20,2)</f>
        <v>18773.740000000002</v>
      </c>
      <c r="D17" s="148">
        <f ca="1">ROUND(D16/28*20,2)</f>
        <v>19689.71</v>
      </c>
      <c r="E17" s="148">
        <f ca="1">D17-C17</f>
        <v>915.96999999999753</v>
      </c>
    </row>
    <row r="18" spans="2:5" x14ac:dyDescent="0.35">
      <c r="B18" s="232">
        <v>2026</v>
      </c>
      <c r="C18" s="232"/>
      <c r="D18" s="232"/>
      <c r="E18" s="151">
        <f ca="1">SUM(E16:E17)</f>
        <v>2198.3299999999945</v>
      </c>
    </row>
    <row r="19" spans="2:5" x14ac:dyDescent="0.35">
      <c r="B19" s="232" t="s">
        <v>216</v>
      </c>
      <c r="C19" s="232"/>
      <c r="D19" s="232"/>
      <c r="E19" s="147">
        <f ca="1">E18+E15</f>
        <v>15388.319999999963</v>
      </c>
    </row>
  </sheetData>
  <mergeCells count="4">
    <mergeCell ref="B2:E2"/>
    <mergeCell ref="B15:D15"/>
    <mergeCell ref="B18:D18"/>
    <mergeCell ref="B19:D19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4</vt:i4>
      </vt:variant>
    </vt:vector>
  </HeadingPairs>
  <TitlesOfParts>
    <vt:vector size="9" baseType="lpstr">
      <vt:lpstr>RESUMO MATRIZ</vt:lpstr>
      <vt:lpstr>VIG 12x36 - DIURNO</vt:lpstr>
      <vt:lpstr>VIG 12x36 - NOTURNO </vt:lpstr>
      <vt:lpstr>Quadro Unif Mat Insumos</vt:lpstr>
      <vt:lpstr>Efeitos Financeiros Repactuação</vt:lpstr>
      <vt:lpstr>'Quadro Unif Mat Insumos'!Area_de_impressao</vt:lpstr>
      <vt:lpstr>'RESUMO MATRIZ'!Area_de_impressao</vt:lpstr>
      <vt:lpstr>'VIG 12x36 - DIURNO'!Area_de_impressao</vt:lpstr>
      <vt:lpstr>'VIG 12x36 - NOTURNO 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eduardo.simao</dc:creator>
  <cp:lastModifiedBy>Humberto Araujo Coser</cp:lastModifiedBy>
  <cp:lastPrinted>2025-04-07T15:15:50Z</cp:lastPrinted>
  <dcterms:created xsi:type="dcterms:W3CDTF">2021-06-14T23:56:52Z</dcterms:created>
  <dcterms:modified xsi:type="dcterms:W3CDTF">2025-05-28T15:22:36Z</dcterms:modified>
</cp:coreProperties>
</file>