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39add44719f4566/Documentos/Geral/GTLC/Anac/Pregão/SOC/"/>
    </mc:Choice>
  </mc:AlternateContent>
  <xr:revisionPtr revIDLastSave="71" documentId="8_{2200EA65-36D8-4C5C-AD4C-6BB562E8934D}" xr6:coauthVersionLast="47" xr6:coauthVersionMax="47" xr10:uidLastSave="{7B5677DB-CD75-45C3-9117-2421FF4CC6E1}"/>
  <bookViews>
    <workbookView xWindow="-110" yWindow="-110" windowWidth="19420" windowHeight="10300" tabRatio="651" activeTab="2" xr2:uid="{0C6CD50F-5EF1-4F23-92E1-A28E0278B352}"/>
  </bookViews>
  <sheets>
    <sheet name="PESQUISA" sheetId="90" r:id="rId1"/>
    <sheet name="PORTARIA 1070_23" sheetId="94" r:id="rId2"/>
    <sheet name="CONSOLIDADO" sheetId="96" r:id="rId3"/>
  </sheets>
  <definedNames>
    <definedName name="Códigos">PESQUISA!$A$4:$A$136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96" l="1"/>
  <c r="E9" i="96"/>
  <c r="C24" i="94"/>
  <c r="C23" i="94"/>
  <c r="C22" i="94"/>
  <c r="C21" i="94"/>
  <c r="C20" i="94"/>
  <c r="F14" i="96"/>
  <c r="F17" i="96" s="1"/>
  <c r="D15" i="96"/>
  <c r="D9" i="96"/>
  <c r="D14" i="96" s="1"/>
  <c r="D19" i="94"/>
  <c r="D20" i="94"/>
  <c r="D21" i="94"/>
  <c r="D22" i="94"/>
  <c r="D23" i="94"/>
  <c r="D24" i="94"/>
  <c r="D25" i="94"/>
  <c r="D18" i="94"/>
  <c r="E25" i="94"/>
  <c r="E19" i="94"/>
  <c r="E20" i="94"/>
  <c r="E21" i="94"/>
  <c r="E22" i="94"/>
  <c r="E23" i="94"/>
  <c r="E24" i="94"/>
  <c r="E18" i="94"/>
  <c r="C25" i="94"/>
  <c r="C19" i="94"/>
  <c r="C18" i="94"/>
  <c r="G2" i="94"/>
  <c r="G3" i="94"/>
  <c r="G4" i="94"/>
  <c r="H4" i="94"/>
  <c r="G5" i="94"/>
  <c r="H5" i="94"/>
  <c r="G6" i="94"/>
  <c r="G7" i="94"/>
  <c r="H3" i="94"/>
  <c r="H6" i="94"/>
  <c r="H7" i="94"/>
  <c r="H8" i="94"/>
  <c r="H9" i="94"/>
  <c r="H10" i="94"/>
  <c r="H11" i="94"/>
  <c r="H12" i="94"/>
  <c r="H2" i="94"/>
  <c r="E15" i="94"/>
  <c r="G8" i="94"/>
  <c r="G9" i="94"/>
  <c r="G10" i="94"/>
  <c r="G11" i="94"/>
  <c r="G12" i="94"/>
  <c r="G13" i="94"/>
  <c r="G14" i="94"/>
  <c r="H14" i="94"/>
  <c r="F12" i="94"/>
  <c r="F10" i="94"/>
  <c r="F8" i="94"/>
  <c r="F13" i="94"/>
  <c r="F11" i="94"/>
  <c r="F9" i="94"/>
  <c r="F7" i="94"/>
  <c r="G15" i="94"/>
  <c r="H13" i="94"/>
  <c r="H15" i="94"/>
  <c r="P8" i="90"/>
  <c r="Q8" i="90"/>
  <c r="P19" i="90"/>
  <c r="Q19" i="90"/>
  <c r="P30" i="90"/>
  <c r="Q30" i="90"/>
  <c r="P41" i="90"/>
  <c r="Q41" i="90"/>
  <c r="P52" i="90"/>
  <c r="Q52" i="90"/>
  <c r="P64" i="90"/>
  <c r="Q64" i="90"/>
  <c r="Q75" i="90"/>
  <c r="P75" i="90"/>
  <c r="P86" i="90"/>
  <c r="Q86" i="90"/>
  <c r="P97" i="90"/>
  <c r="Q97" i="90"/>
  <c r="Q108" i="90"/>
  <c r="P108" i="90"/>
  <c r="P119" i="90"/>
  <c r="Q119" i="90"/>
  <c r="P130" i="90"/>
  <c r="Q130" i="90"/>
  <c r="J130" i="90"/>
  <c r="K131" i="90"/>
  <c r="L131" i="90"/>
  <c r="K136" i="90"/>
  <c r="L136" i="90"/>
  <c r="K134" i="90"/>
  <c r="L134" i="90"/>
  <c r="K133" i="90"/>
  <c r="L133" i="90"/>
  <c r="K132" i="90"/>
  <c r="L132" i="90"/>
  <c r="K10" i="90"/>
  <c r="K9" i="90"/>
  <c r="K8" i="90"/>
  <c r="J13" i="90"/>
  <c r="J12" i="90"/>
  <c r="J11" i="90"/>
  <c r="J10" i="90"/>
  <c r="J9" i="90"/>
  <c r="J8" i="90"/>
  <c r="L24" i="90"/>
  <c r="L23" i="90"/>
  <c r="L22" i="90"/>
  <c r="L21" i="90"/>
  <c r="L20" i="90"/>
  <c r="L19" i="90"/>
  <c r="K24" i="90"/>
  <c r="K23" i="90"/>
  <c r="K22" i="90"/>
  <c r="K21" i="90"/>
  <c r="K20" i="90"/>
  <c r="K19" i="90"/>
  <c r="J24" i="90"/>
  <c r="J23" i="90"/>
  <c r="J22" i="90"/>
  <c r="J21" i="90"/>
  <c r="J20" i="90"/>
  <c r="J19" i="90"/>
  <c r="K102" i="90"/>
  <c r="J102" i="90"/>
  <c r="J132" i="90"/>
  <c r="J121" i="90"/>
  <c r="K121" i="90"/>
  <c r="L121" i="90"/>
  <c r="J110" i="90"/>
  <c r="K110" i="90"/>
  <c r="L110" i="90"/>
  <c r="J99" i="90"/>
  <c r="K99" i="90"/>
  <c r="L99" i="90"/>
  <c r="J88" i="90"/>
  <c r="K88" i="90"/>
  <c r="L88" i="90"/>
  <c r="J77" i="90"/>
  <c r="K77" i="90"/>
  <c r="L77" i="90"/>
  <c r="J66" i="90"/>
  <c r="K66" i="90"/>
  <c r="L66" i="90"/>
  <c r="J57" i="90"/>
  <c r="J43" i="90"/>
  <c r="K43" i="90"/>
  <c r="L43" i="90"/>
  <c r="J33" i="90"/>
  <c r="K33" i="90"/>
  <c r="L33" i="90"/>
  <c r="J134" i="90"/>
  <c r="J122" i="90"/>
  <c r="J44" i="90"/>
  <c r="J67" i="90"/>
  <c r="J78" i="90"/>
  <c r="J89" i="90"/>
  <c r="J111" i="90"/>
  <c r="J100" i="90"/>
  <c r="J54" i="90"/>
  <c r="J55" i="90"/>
  <c r="J32" i="90"/>
  <c r="J131" i="90"/>
  <c r="J109" i="90"/>
  <c r="J98" i="90"/>
  <c r="J87" i="90"/>
  <c r="J76" i="90"/>
  <c r="J65" i="90"/>
  <c r="J56" i="90"/>
  <c r="J42" i="90"/>
  <c r="J31" i="90"/>
  <c r="J53" i="90"/>
  <c r="S8" i="90"/>
  <c r="T8" i="90"/>
  <c r="J112" i="90"/>
  <c r="J101" i="90"/>
  <c r="J79" i="90"/>
  <c r="J58" i="90"/>
  <c r="J45" i="90"/>
  <c r="J34" i="90"/>
  <c r="J136" i="90"/>
  <c r="J135" i="90"/>
  <c r="J133" i="90"/>
  <c r="J68" i="90"/>
  <c r="J64" i="90"/>
  <c r="J97" i="90"/>
  <c r="J46" i="90"/>
  <c r="J119" i="90"/>
  <c r="J108" i="90"/>
  <c r="J90" i="90"/>
  <c r="J91" i="90"/>
  <c r="J86" i="90"/>
  <c r="J75" i="90"/>
  <c r="J52" i="90"/>
  <c r="K57" i="90"/>
  <c r="L57" i="90"/>
  <c r="J41" i="90"/>
  <c r="J30" i="90"/>
  <c r="S130" i="90"/>
  <c r="T130" i="90"/>
  <c r="J124" i="90"/>
  <c r="J123" i="90"/>
  <c r="J120" i="90"/>
  <c r="S119" i="90"/>
  <c r="T119" i="90"/>
  <c r="J113" i="90"/>
  <c r="S108" i="90"/>
  <c r="T108" i="90"/>
  <c r="S97" i="90"/>
  <c r="T97" i="90"/>
  <c r="S86" i="90"/>
  <c r="T86" i="90"/>
  <c r="J80" i="90"/>
  <c r="S75" i="90"/>
  <c r="T75" i="90"/>
  <c r="J69" i="90"/>
  <c r="S64" i="90"/>
  <c r="T64" i="90"/>
  <c r="S52" i="90"/>
  <c r="T52" i="90"/>
  <c r="S41" i="90"/>
  <c r="T41" i="90"/>
  <c r="J35" i="90"/>
  <c r="S30" i="90"/>
  <c r="T30" i="90"/>
  <c r="S19" i="90"/>
  <c r="T19" i="90"/>
  <c r="K30" i="90"/>
  <c r="L30" i="90"/>
  <c r="K46" i="90"/>
  <c r="L46" i="90"/>
  <c r="K100" i="90"/>
  <c r="L100" i="90"/>
  <c r="K69" i="90"/>
  <c r="L69" i="90"/>
  <c r="K98" i="90"/>
  <c r="L98" i="90"/>
  <c r="K111" i="90"/>
  <c r="L111" i="90"/>
  <c r="K52" i="90"/>
  <c r="L52" i="90"/>
  <c r="K79" i="90"/>
  <c r="L79" i="90"/>
  <c r="K53" i="90"/>
  <c r="L53" i="90"/>
  <c r="K86" i="90"/>
  <c r="L86" i="90"/>
  <c r="K122" i="90"/>
  <c r="L122" i="90"/>
  <c r="K123" i="90"/>
  <c r="L123" i="90"/>
  <c r="K119" i="90"/>
  <c r="L119" i="90"/>
  <c r="K124" i="90"/>
  <c r="L124" i="90"/>
  <c r="K97" i="90"/>
  <c r="L97" i="90"/>
  <c r="K56" i="90"/>
  <c r="L56" i="90"/>
  <c r="K58" i="90"/>
  <c r="L58" i="90"/>
  <c r="K65" i="90"/>
  <c r="L65" i="90"/>
  <c r="K68" i="90"/>
  <c r="L68" i="90"/>
  <c r="K42" i="90"/>
  <c r="L42" i="90"/>
  <c r="K31" i="90"/>
  <c r="L31" i="90"/>
  <c r="K32" i="90"/>
  <c r="L32" i="90"/>
  <c r="K34" i="90"/>
  <c r="L34" i="90"/>
  <c r="K35" i="90"/>
  <c r="L35" i="90"/>
  <c r="K120" i="90"/>
  <c r="L120" i="90"/>
  <c r="K109" i="90"/>
  <c r="L109" i="90"/>
  <c r="K112" i="90"/>
  <c r="L112" i="90"/>
  <c r="K113" i="90"/>
  <c r="L113" i="90"/>
  <c r="K108" i="90"/>
  <c r="L108" i="90"/>
  <c r="K101" i="90"/>
  <c r="L101" i="90"/>
  <c r="K91" i="90"/>
  <c r="L91" i="90"/>
  <c r="K89" i="90"/>
  <c r="L89" i="90"/>
  <c r="K90" i="90"/>
  <c r="L90" i="90"/>
  <c r="K87" i="90"/>
  <c r="L87" i="90"/>
  <c r="K78" i="90"/>
  <c r="L78" i="90"/>
  <c r="K76" i="90"/>
  <c r="L76" i="90"/>
  <c r="K75" i="90"/>
  <c r="L75" i="90"/>
  <c r="K80" i="90"/>
  <c r="L80" i="90"/>
  <c r="K67" i="90"/>
  <c r="L67" i="90"/>
  <c r="K64" i="90"/>
  <c r="L64" i="90"/>
  <c r="K54" i="90"/>
  <c r="L54" i="90"/>
  <c r="K55" i="90"/>
  <c r="L55" i="90"/>
  <c r="K41" i="90"/>
  <c r="L41" i="90"/>
  <c r="K44" i="90"/>
  <c r="L44" i="90"/>
  <c r="K45" i="90"/>
  <c r="L45" i="90"/>
  <c r="S138" i="90"/>
  <c r="M30" i="90"/>
  <c r="N30" i="90"/>
  <c r="M119" i="90"/>
  <c r="N119" i="90"/>
  <c r="M86" i="90"/>
  <c r="N86" i="90"/>
  <c r="M52" i="90"/>
  <c r="N52" i="90"/>
  <c r="M108" i="90"/>
  <c r="N108" i="90"/>
  <c r="M75" i="90"/>
  <c r="N75" i="90"/>
  <c r="M64" i="90"/>
  <c r="N64" i="90"/>
  <c r="M41" i="90"/>
  <c r="N41" i="90"/>
  <c r="L102" i="90"/>
  <c r="M97" i="90"/>
  <c r="N97" i="90"/>
  <c r="P138" i="90"/>
  <c r="K135" i="90"/>
  <c r="L135" i="90"/>
  <c r="K130" i="90"/>
  <c r="L130" i="90"/>
  <c r="M130" i="90"/>
  <c r="N130" i="90"/>
  <c r="L9" i="90"/>
  <c r="L10" i="90"/>
  <c r="L8" i="90"/>
  <c r="K11" i="90"/>
  <c r="L11" i="90"/>
  <c r="K12" i="90"/>
  <c r="L12" i="90"/>
  <c r="K13" i="90"/>
  <c r="L13" i="90"/>
  <c r="M19" i="90"/>
  <c r="N19" i="90"/>
  <c r="M8" i="90"/>
  <c r="N8" i="90"/>
  <c r="M138" i="90"/>
  <c r="D17" i="96" l="1"/>
</calcChain>
</file>

<file path=xl/sharedStrings.xml><?xml version="1.0" encoding="utf-8"?>
<sst xmlns="http://schemas.openxmlformats.org/spreadsheetml/2006/main" count="783" uniqueCount="114">
  <si>
    <t>PESQUISA DE PREÇOS PARA CONTRATAÇÃO DE SERVIÇOS TÉCNICOS ESPECIALIZADOS DE SEGURANÇA DA INFORMAÇÃO PARA A IMPLANTAÇÃO DE UM SECURITY OPERATION CENTER - SOC</t>
  </si>
  <si>
    <t>GTLC/GEST/SAF</t>
  </si>
  <si>
    <t>MÉDIA SANEADA</t>
  </si>
  <si>
    <t>MÍNIMO VÁLIDO</t>
  </si>
  <si>
    <t>MÍNIMO</t>
  </si>
  <si>
    <t>CÓDIGO:</t>
  </si>
  <si>
    <t xml:space="preserve">OBJETO: </t>
  </si>
  <si>
    <t>UNIDADE:</t>
  </si>
  <si>
    <t>LOCAL:</t>
  </si>
  <si>
    <t>Apoio à Gestão de Segurança</t>
  </si>
  <si>
    <t>MENSAL</t>
  </si>
  <si>
    <t>BRASÍLIA/DF</t>
  </si>
  <si>
    <t>R$ Referência</t>
  </si>
  <si>
    <t>GPO</t>
  </si>
  <si>
    <t>ITEM</t>
  </si>
  <si>
    <t>QTD.</t>
  </si>
  <si>
    <t>ITEM LIC. / P. COM.</t>
  </si>
  <si>
    <t>DATA (Prop./Hom.)</t>
  </si>
  <si>
    <t>UASG - ÓRGÃO/FONE - CONTATO</t>
  </si>
  <si>
    <t>EMPRESA/CNPJ</t>
  </si>
  <si>
    <t xml:space="preserve">R$ </t>
  </si>
  <si>
    <t>R$¹</t>
  </si>
  <si>
    <t>R$²</t>
  </si>
  <si>
    <t>R$ Unit.</t>
  </si>
  <si>
    <t>R$ Total</t>
  </si>
  <si>
    <t>P. Com.</t>
  </si>
  <si>
    <t>09/10/2024</t>
  </si>
  <si>
    <t xml:space="preserve">(61) 99953-2641 / GLEICIANE SILVA </t>
  </si>
  <si>
    <t>COMPIWARE INFORMÁTICA LTDA -  01.181.242/0001-91</t>
  </si>
  <si>
    <t>24/09/2024</t>
  </si>
  <si>
    <t>(11) 97082-4170 / ANDRÉ URBANO</t>
  </si>
  <si>
    <t>PROMONLOGICALIS TECNOLOGIA E PARTICIPACOES LTDA - 09.458.123/0001-45</t>
  </si>
  <si>
    <t xml:space="preserve">P. Com. </t>
  </si>
  <si>
    <t>29/10/2024</t>
  </si>
  <si>
    <t xml:space="preserve">(27) 3334 -8900 / ADRIANO SOUTO </t>
  </si>
  <si>
    <t>ISH TECNOLOGIA S/A - 01.707.536/0001-04</t>
  </si>
  <si>
    <t>(11) 2574-9600 / RICHARD THOMAS</t>
  </si>
  <si>
    <t>9NET TI TELECOM E SERVIÇOS LTDA - 12.247.352/0001-25</t>
  </si>
  <si>
    <t>14/10/2024</t>
  </si>
  <si>
    <t>(61) 99301-3511 / MURILLO URBANO</t>
  </si>
  <si>
    <t>NETWORK SECURE SEGURANÇA DA INFORMAÇÃO LTDA - 05.250.796/0001-54</t>
  </si>
  <si>
    <t>22/10/2024</t>
  </si>
  <si>
    <t>(61) 9 8401-8741 / NIVALDO JOSÉ</t>
  </si>
  <si>
    <t>TELMEX DO BRASIL S./A - 02.667.694/0001-40</t>
  </si>
  <si>
    <t>Gestão de Ativos e Configuração Segura</t>
  </si>
  <si>
    <t>Gestão de Conta, Controle de Acesso e Auditoria</t>
  </si>
  <si>
    <t>Gestão de incidentes de segurança da informação (Blue Team)</t>
  </si>
  <si>
    <t>Monitoramento e correlação de eventos de segurança da informação</t>
  </si>
  <si>
    <t>28/2023</t>
  </si>
  <si>
    <t>18/12/2023</t>
  </si>
  <si>
    <t>90031 -90031 - TRIBUNAL REGIONAL FEDERAL DA 5A.REGIAO</t>
  </si>
  <si>
    <t>KRYPTUS SEGURANCA DA INFORMACAO S.A - 05.761.098/0001-13</t>
  </si>
  <si>
    <t>Serviço de contratação de pacotes adicionais de 500 EPS da ferramenta SIEM por 12meses</t>
  </si>
  <si>
    <t xml:space="preserve">SOB DEMANDA </t>
  </si>
  <si>
    <t>Gestão de vulnerabilidades</t>
  </si>
  <si>
    <t>Solução de gerenciamento de vulnerabilidades de segurança</t>
  </si>
  <si>
    <t>Segurança de Redes</t>
  </si>
  <si>
    <t>Segurança de Aplicação</t>
  </si>
  <si>
    <t>Inteligência de Ameaças Cibernéticas</t>
  </si>
  <si>
    <t>30/09/2024</t>
  </si>
  <si>
    <t xml:space="preserve">(11) 95966-5883 / CRISTINE SANTANA </t>
  </si>
  <si>
    <t>APURA COMÉRCIO DE SOFTWARES E ASSESORIA EM TEC. DA INF. S/A - 15.690.857/0002-39</t>
  </si>
  <si>
    <t>Testes de Invasão</t>
  </si>
  <si>
    <t>SOB DEMANDA</t>
  </si>
  <si>
    <t>TOTAL GERAL</t>
  </si>
  <si>
    <t>Lote</t>
  </si>
  <si>
    <t>Torre</t>
  </si>
  <si>
    <t>Perfis profissionais</t>
  </si>
  <si>
    <t>Nível</t>
  </si>
  <si>
    <t>Qtde de Profissionais</t>
  </si>
  <si>
    <t>Salário médio estimado com Fator K</t>
  </si>
  <si>
    <t>Custo Total do Perfil</t>
  </si>
  <si>
    <t>Custo Total 2 Anos</t>
  </si>
  <si>
    <t>Segurança Defensiva</t>
  </si>
  <si>
    <t>Gerente de segurança da informação</t>
  </si>
  <si>
    <t>Senior</t>
  </si>
  <si>
    <t>Administrador em segurança da informação - Sênior</t>
  </si>
  <si>
    <t>Administrador em segurança da informação - Pleno</t>
  </si>
  <si>
    <t>Pleno</t>
  </si>
  <si>
    <t>Gestão de Vulnerabilidades</t>
  </si>
  <si>
    <t>TOTAL</t>
  </si>
  <si>
    <t>Referência</t>
  </si>
  <si>
    <t>Custo Mensal</t>
  </si>
  <si>
    <t>Custo Anual</t>
  </si>
  <si>
    <t>Custo 2 Anos</t>
  </si>
  <si>
    <t>Portaria SGD/ME nº 1070/23</t>
  </si>
  <si>
    <t>CBO de Referência</t>
  </si>
  <si>
    <t>Cód. Identificação do Perfil</t>
  </si>
  <si>
    <t>Descrição do Perfil</t>
  </si>
  <si>
    <t>Valor Salarial (R$)</t>
  </si>
  <si>
    <t>Fator K</t>
  </si>
  <si>
    <t>Custo mensal (R$)</t>
  </si>
  <si>
    <t>2123-20</t>
  </si>
  <si>
    <t>ASEG-01</t>
  </si>
  <si>
    <t>Administrador em segurança da informação - Júnior</t>
  </si>
  <si>
    <t>Júnior</t>
  </si>
  <si>
    <t>ASEG-02</t>
  </si>
  <si>
    <t>ASEG-03</t>
  </si>
  <si>
    <t>Sênior</t>
  </si>
  <si>
    <t>1425-25</t>
  </si>
  <si>
    <t>GERSEG</t>
  </si>
  <si>
    <t>Master</t>
  </si>
  <si>
    <t>Item</t>
  </si>
  <si>
    <t>Custo mensal</t>
  </si>
  <si>
    <t>Custo 2 anos</t>
  </si>
  <si>
    <t>Serviço de contratação de pacotes adicionais de 500 EPS da ferramenta SIEM por 12 meses </t>
  </si>
  <si>
    <t>VALOR TOTAL</t>
  </si>
  <si>
    <t>Grupo</t>
  </si>
  <si>
    <t>TOTAL GRUPO 1</t>
  </si>
  <si>
    <t>Custo unitário</t>
  </si>
  <si>
    <t>Objeto</t>
  </si>
  <si>
    <t>Observação</t>
  </si>
  <si>
    <t>Contratação por demanda. Custo mensal estimado.</t>
  </si>
  <si>
    <t>VALOR DE REFERÊNCIA PARA CONTRATAÇÃO DE SERVIÇOS TÉCNICOS ESPECIALIZADOS DE SEGURANÇA DA INFORMAÇÃO PARA A IMPLANTAÇÃO DE UM SECURITY OPERATION CENTER - SOC (Portaria SGD/MGI nº 1.070, de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</si>
</sst>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-[$R$-416]\ * #,##0.00_-;\-[$R$-416]\ * #,##0.00_-;_-[$R$-416]\ * &quot;-&quot;??_-;_-@_-"/>
    <numFmt numFmtId="166" formatCode="&quot;R$&quot;\ #,##0.00"/>
  </numFmts>
  <fonts count="20" x14ac:knownFonts="1">
    <font>
      <sz val="11"/>
      <color theme="1"/>
      <name val="Calibri"/>
      <family val="2"/>
      <scheme val="minor"/>
    </font>
    <font>
      <b/>
      <i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rgb="FF000000"/>
      </right>
      <top style="thin">
        <color indexed="64"/>
      </top>
      <bottom style="hair">
        <color indexed="64"/>
      </bottom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4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" fontId="8" fillId="0" borderId="2" xfId="0" applyNumberFormat="1" applyFont="1" applyBorder="1" applyAlignment="1" applyProtection="1">
      <alignment horizontal="center" vertical="center" wrapText="1"/>
      <protection hidden="1"/>
    </xf>
    <xf numFmtId="4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>
      <alignment horizontal="center" vertical="center"/>
    </xf>
    <xf numFmtId="4" fontId="8" fillId="0" borderId="0" xfId="0" applyNumberFormat="1" applyFont="1" applyAlignment="1" applyProtection="1">
      <alignment horizontal="center" vertical="center" wrapText="1"/>
      <protection hidden="1"/>
    </xf>
    <xf numFmtId="4" fontId="6" fillId="0" borderId="0" xfId="1" applyNumberFormat="1" applyFont="1" applyFill="1" applyBorder="1" applyAlignment="1" applyProtection="1">
      <alignment horizontal="center" vertical="center"/>
      <protection hidden="1"/>
    </xf>
    <xf numFmtId="49" fontId="7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right" vertical="center" wrapText="1"/>
    </xf>
    <xf numFmtId="0" fontId="8" fillId="0" borderId="0" xfId="0" applyFont="1"/>
    <xf numFmtId="4" fontId="7" fillId="0" borderId="6" xfId="1" applyNumberFormat="1" applyFont="1" applyFill="1" applyBorder="1" applyAlignment="1" applyProtection="1">
      <alignment vertical="center"/>
      <protection hidden="1"/>
    </xf>
    <xf numFmtId="4" fontId="6" fillId="0" borderId="6" xfId="1" applyNumberFormat="1" applyFont="1" applyFill="1" applyBorder="1" applyAlignment="1" applyProtection="1">
      <alignment vertical="center"/>
      <protection hidden="1"/>
    </xf>
    <xf numFmtId="0" fontId="0" fillId="0" borderId="6" xfId="0" applyBorder="1"/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8" fillId="0" borderId="8" xfId="0" applyNumberFormat="1" applyFont="1" applyBorder="1" applyAlignment="1" applyProtection="1">
      <alignment horizontal="center" vertical="center" wrapText="1"/>
      <protection hidden="1"/>
    </xf>
    <xf numFmtId="4" fontId="8" fillId="0" borderId="1" xfId="0" applyNumberFormat="1" applyFont="1" applyBorder="1" applyAlignment="1" applyProtection="1">
      <alignment horizontal="center" vertical="center" wrapText="1"/>
      <protection hidden="1"/>
    </xf>
    <xf numFmtId="4" fontId="8" fillId="0" borderId="9" xfId="0" applyNumberFormat="1" applyFont="1" applyBorder="1" applyAlignment="1" applyProtection="1">
      <alignment horizontal="center" vertical="center" wrapText="1"/>
      <protection hidden="1"/>
    </xf>
    <xf numFmtId="4" fontId="9" fillId="0" borderId="10" xfId="0" applyNumberFormat="1" applyFont="1" applyBorder="1" applyAlignment="1" applyProtection="1">
      <alignment horizontal="center" vertical="center" wrapText="1"/>
      <protection locked="0"/>
    </xf>
    <xf numFmtId="4" fontId="9" fillId="0" borderId="11" xfId="0" applyNumberFormat="1" applyFont="1" applyBorder="1" applyAlignment="1" applyProtection="1">
      <alignment horizontal="center" vertical="center" wrapText="1"/>
      <protection hidden="1"/>
    </xf>
    <xf numFmtId="4" fontId="8" fillId="0" borderId="12" xfId="0" applyNumberFormat="1" applyFont="1" applyBorder="1" applyAlignment="1" applyProtection="1">
      <alignment horizontal="center" vertical="center" wrapText="1"/>
      <protection hidden="1"/>
    </xf>
    <xf numFmtId="4" fontId="8" fillId="0" borderId="13" xfId="0" applyNumberFormat="1" applyFont="1" applyBorder="1" applyAlignment="1" applyProtection="1">
      <alignment horizontal="center" vertical="center" wrapText="1"/>
      <protection hidden="1"/>
    </xf>
    <xf numFmtId="4" fontId="9" fillId="0" borderId="14" xfId="0" applyNumberFormat="1" applyFont="1" applyBorder="1" applyAlignment="1" applyProtection="1">
      <alignment horizontal="center" vertical="center" wrapText="1"/>
      <protection locked="0"/>
    </xf>
    <xf numFmtId="4" fontId="9" fillId="0" borderId="15" xfId="0" applyNumberFormat="1" applyFont="1" applyBorder="1" applyAlignment="1" applyProtection="1">
      <alignment horizontal="center" vertical="center" wrapText="1"/>
      <protection hidden="1"/>
    </xf>
    <xf numFmtId="4" fontId="8" fillId="0" borderId="16" xfId="0" applyNumberFormat="1" applyFont="1" applyBorder="1" applyAlignment="1" applyProtection="1">
      <alignment horizontal="center" vertical="center" wrapText="1"/>
      <protection hidden="1"/>
    </xf>
    <xf numFmtId="3" fontId="9" fillId="0" borderId="0" xfId="0" applyNumberFormat="1" applyFont="1" applyAlignment="1">
      <alignment horizontal="center" vertical="center" wrapText="1"/>
    </xf>
    <xf numFmtId="4" fontId="9" fillId="0" borderId="17" xfId="0" applyNumberFormat="1" applyFont="1" applyBorder="1" applyAlignment="1" applyProtection="1">
      <alignment horizontal="center" vertical="center" wrapText="1"/>
      <protection locked="0"/>
    </xf>
    <xf numFmtId="4" fontId="9" fillId="0" borderId="6" xfId="0" applyNumberFormat="1" applyFont="1" applyBorder="1" applyAlignment="1" applyProtection="1">
      <alignment horizontal="center" vertical="center" wrapText="1"/>
      <protection hidden="1"/>
    </xf>
    <xf numFmtId="4" fontId="9" fillId="0" borderId="18" xfId="0" applyNumberFormat="1" applyFont="1" applyBorder="1" applyAlignment="1" applyProtection="1">
      <alignment horizontal="center" vertical="center" wrapText="1"/>
      <protection locked="0"/>
    </xf>
    <xf numFmtId="4" fontId="0" fillId="0" borderId="0" xfId="0" applyNumberFormat="1"/>
    <xf numFmtId="4" fontId="9" fillId="0" borderId="6" xfId="0" applyNumberFormat="1" applyFont="1" applyBorder="1" applyAlignment="1" applyProtection="1">
      <alignment horizontal="center" vertical="center"/>
      <protection hidden="1"/>
    </xf>
    <xf numFmtId="4" fontId="8" fillId="0" borderId="8" xfId="0" applyNumberFormat="1" applyFont="1" applyBorder="1" applyAlignment="1" applyProtection="1">
      <alignment horizontal="center" vertical="center"/>
      <protection hidden="1"/>
    </xf>
    <xf numFmtId="4" fontId="8" fillId="0" borderId="1" xfId="0" applyNumberFormat="1" applyFont="1" applyBorder="1" applyAlignment="1" applyProtection="1">
      <alignment horizontal="center" vertical="center"/>
      <protection hidden="1"/>
    </xf>
    <xf numFmtId="4" fontId="9" fillId="0" borderId="18" xfId="0" applyNumberFormat="1" applyFont="1" applyBorder="1" applyAlignment="1" applyProtection="1">
      <alignment horizontal="center" vertical="center"/>
      <protection locked="0"/>
    </xf>
    <xf numFmtId="4" fontId="9" fillId="0" borderId="19" xfId="0" applyNumberFormat="1" applyFont="1" applyBorder="1" applyAlignment="1" applyProtection="1">
      <alignment horizontal="center" vertical="center"/>
      <protection hidden="1"/>
    </xf>
    <xf numFmtId="4" fontId="8" fillId="0" borderId="20" xfId="0" applyNumberFormat="1" applyFont="1" applyBorder="1" applyAlignment="1" applyProtection="1">
      <alignment horizontal="center" vertical="center"/>
      <protection hidden="1"/>
    </xf>
    <xf numFmtId="4" fontId="8" fillId="0" borderId="9" xfId="0" applyNumberFormat="1" applyFont="1" applyBorder="1" applyAlignment="1" applyProtection="1">
      <alignment horizontal="center" vertical="center"/>
      <protection hidden="1"/>
    </xf>
    <xf numFmtId="4" fontId="9" fillId="0" borderId="11" xfId="0" applyNumberFormat="1" applyFont="1" applyBorder="1" applyAlignment="1" applyProtection="1">
      <alignment horizontal="center" vertical="center" wrapText="1"/>
      <protection locked="0"/>
    </xf>
    <xf numFmtId="4" fontId="9" fillId="0" borderId="15" xfId="0" applyNumberFormat="1" applyFont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>
      <alignment horizontal="center" vertical="center" wrapText="1"/>
    </xf>
    <xf numFmtId="4" fontId="7" fillId="0" borderId="0" xfId="1" applyNumberFormat="1" applyFont="1" applyFill="1" applyBorder="1" applyAlignment="1" applyProtection="1">
      <alignment horizontal="center" vertical="center"/>
      <protection hidden="1"/>
    </xf>
    <xf numFmtId="10" fontId="10" fillId="0" borderId="0" xfId="0" applyNumberFormat="1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4" fontId="9" fillId="0" borderId="21" xfId="0" applyNumberFormat="1" applyFont="1" applyBorder="1" applyAlignment="1" applyProtection="1">
      <alignment horizontal="center" vertical="center" wrapText="1"/>
      <protection hidden="1"/>
    </xf>
    <xf numFmtId="4" fontId="9" fillId="0" borderId="15" xfId="0" applyNumberFormat="1" applyFont="1" applyBorder="1" applyAlignment="1" applyProtection="1">
      <alignment horizontal="center" vertical="center"/>
      <protection hidden="1"/>
    </xf>
    <xf numFmtId="4" fontId="8" fillId="0" borderId="3" xfId="0" applyNumberFormat="1" applyFont="1" applyBorder="1" applyAlignment="1" applyProtection="1">
      <alignment horizontal="center" vertical="center"/>
      <protection hidden="1"/>
    </xf>
    <xf numFmtId="4" fontId="8" fillId="0" borderId="16" xfId="0" applyNumberFormat="1" applyFont="1" applyBorder="1" applyAlignment="1" applyProtection="1">
      <alignment horizontal="center" vertical="center"/>
      <protection hidden="1"/>
    </xf>
    <xf numFmtId="4" fontId="9" fillId="0" borderId="22" xfId="0" applyNumberFormat="1" applyFont="1" applyBorder="1" applyAlignment="1" applyProtection="1">
      <alignment horizontal="center" vertical="center" wrapText="1"/>
      <protection locked="0"/>
    </xf>
    <xf numFmtId="4" fontId="9" fillId="0" borderId="23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" fontId="9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24" xfId="0" applyBorder="1"/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9" fontId="12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" fontId="8" fillId="0" borderId="20" xfId="0" applyNumberFormat="1" applyFont="1" applyBorder="1" applyAlignment="1" applyProtection="1">
      <alignment horizontal="center" vertical="center" wrapText="1"/>
      <protection hidden="1"/>
    </xf>
    <xf numFmtId="4" fontId="9" fillId="0" borderId="19" xfId="0" applyNumberFormat="1" applyFont="1" applyBorder="1" applyAlignment="1" applyProtection="1">
      <alignment horizontal="center" vertical="center" wrapText="1"/>
      <protection hidden="1"/>
    </xf>
    <xf numFmtId="49" fontId="9" fillId="0" borderId="0" xfId="0" applyNumberFormat="1" applyFont="1" applyAlignment="1" applyProtection="1">
      <alignment horizontal="center" vertical="center"/>
      <protection locked="0"/>
    </xf>
    <xf numFmtId="10" fontId="9" fillId="0" borderId="0" xfId="0" applyNumberFormat="1" applyFont="1" applyAlignment="1" applyProtection="1">
      <alignment horizontal="center" vertical="center" wrapText="1"/>
      <protection locked="0"/>
    </xf>
    <xf numFmtId="4" fontId="9" fillId="0" borderId="0" xfId="0" applyNumberFormat="1" applyFont="1" applyAlignment="1" applyProtection="1">
      <alignment horizontal="center" vertical="center" wrapText="1"/>
      <protection locked="0"/>
    </xf>
    <xf numFmtId="4" fontId="9" fillId="0" borderId="0" xfId="0" applyNumberFormat="1" applyFont="1" applyAlignment="1" applyProtection="1">
      <alignment horizontal="center" vertical="center" wrapText="1"/>
      <protection hidden="1"/>
    </xf>
    <xf numFmtId="49" fontId="9" fillId="0" borderId="13" xfId="0" applyNumberFormat="1" applyFont="1" applyBorder="1" applyAlignment="1" applyProtection="1">
      <alignment horizontal="center" vertical="center"/>
      <protection locked="0"/>
    </xf>
    <xf numFmtId="10" fontId="10" fillId="0" borderId="13" xfId="0" applyNumberFormat="1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0" fontId="5" fillId="0" borderId="0" xfId="0" applyFont="1" applyAlignment="1">
      <alignment vertical="center"/>
    </xf>
    <xf numFmtId="0" fontId="6" fillId="2" borderId="25" xfId="0" applyFont="1" applyFill="1" applyBorder="1" applyAlignment="1">
      <alignment horizontal="center" vertical="center" wrapText="1"/>
    </xf>
    <xf numFmtId="49" fontId="9" fillId="0" borderId="9" xfId="0" applyNumberFormat="1" applyFont="1" applyBorder="1" applyAlignment="1" applyProtection="1">
      <alignment horizontal="center" vertical="center"/>
      <protection locked="0"/>
    </xf>
    <xf numFmtId="49" fontId="9" fillId="0" borderId="16" xfId="0" applyNumberFormat="1" applyFont="1" applyBorder="1" applyAlignment="1" applyProtection="1">
      <alignment horizontal="center" vertical="center"/>
      <protection locked="0"/>
    </xf>
    <xf numFmtId="10" fontId="10" fillId="0" borderId="16" xfId="0" applyNumberFormat="1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49" fontId="9" fillId="0" borderId="24" xfId="0" applyNumberFormat="1" applyFont="1" applyBorder="1" applyAlignment="1" applyProtection="1">
      <alignment horizontal="center" vertical="center"/>
      <protection locked="0"/>
    </xf>
    <xf numFmtId="10" fontId="10" fillId="0" borderId="24" xfId="0" applyNumberFormat="1" applyFont="1" applyBorder="1" applyAlignment="1" applyProtection="1">
      <alignment horizontal="left" vertical="center" wrapText="1"/>
      <protection locked="0"/>
    </xf>
    <xf numFmtId="0" fontId="9" fillId="0" borderId="24" xfId="0" applyFont="1" applyBorder="1" applyAlignment="1" applyProtection="1">
      <alignment horizontal="left" vertical="center" wrapText="1"/>
      <protection locked="0"/>
    </xf>
    <xf numFmtId="10" fontId="10" fillId="0" borderId="9" xfId="0" applyNumberFormat="1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10" fontId="10" fillId="0" borderId="8" xfId="0" applyNumberFormat="1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10" fontId="10" fillId="0" borderId="20" xfId="0" applyNumberFormat="1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4" fontId="9" fillId="0" borderId="26" xfId="0" applyNumberFormat="1" applyFont="1" applyBorder="1" applyAlignment="1" applyProtection="1">
      <alignment horizontal="center" vertical="center" wrapText="1"/>
      <protection locked="0"/>
    </xf>
    <xf numFmtId="4" fontId="8" fillId="0" borderId="27" xfId="0" applyNumberFormat="1" applyFont="1" applyBorder="1" applyAlignment="1" applyProtection="1">
      <alignment horizontal="center" vertical="center" wrapText="1"/>
      <protection hidden="1"/>
    </xf>
    <xf numFmtId="4" fontId="9" fillId="0" borderId="22" xfId="0" applyNumberFormat="1" applyFont="1" applyBorder="1" applyAlignment="1" applyProtection="1">
      <alignment horizontal="center" vertical="center"/>
      <protection hidden="1"/>
    </xf>
    <xf numFmtId="4" fontId="8" fillId="0" borderId="28" xfId="0" applyNumberFormat="1" applyFont="1" applyBorder="1" applyAlignment="1" applyProtection="1">
      <alignment horizontal="center" vertical="center"/>
      <protection hidden="1"/>
    </xf>
    <xf numFmtId="4" fontId="8" fillId="0" borderId="27" xfId="0" applyNumberFormat="1" applyFont="1" applyBorder="1" applyAlignment="1" applyProtection="1">
      <alignment horizontal="center" vertical="center"/>
      <protection hidden="1"/>
    </xf>
    <xf numFmtId="4" fontId="9" fillId="0" borderId="22" xfId="0" applyNumberFormat="1" applyFont="1" applyBorder="1" applyAlignment="1" applyProtection="1">
      <alignment horizontal="center" vertical="center" wrapText="1"/>
      <protection hidden="1"/>
    </xf>
    <xf numFmtId="4" fontId="8" fillId="0" borderId="28" xfId="0" applyNumberFormat="1" applyFont="1" applyBorder="1" applyAlignment="1" applyProtection="1">
      <alignment horizontal="center" vertical="center" wrapText="1"/>
      <protection hidden="1"/>
    </xf>
    <xf numFmtId="4" fontId="9" fillId="0" borderId="11" xfId="0" applyNumberFormat="1" applyFont="1" applyBorder="1" applyAlignment="1" applyProtection="1">
      <alignment horizontal="center" vertical="center"/>
      <protection hidden="1"/>
    </xf>
    <xf numFmtId="4" fontId="8" fillId="0" borderId="12" xfId="0" applyNumberFormat="1" applyFont="1" applyBorder="1" applyAlignment="1" applyProtection="1">
      <alignment horizontal="center" vertical="center"/>
      <protection hidden="1"/>
    </xf>
    <xf numFmtId="4" fontId="8" fillId="0" borderId="13" xfId="0" applyNumberFormat="1" applyFont="1" applyBorder="1" applyAlignment="1" applyProtection="1">
      <alignment horizontal="center" vertical="center"/>
      <protection hidden="1"/>
    </xf>
    <xf numFmtId="4" fontId="9" fillId="0" borderId="29" xfId="0" applyNumberFormat="1" applyFont="1" applyBorder="1" applyAlignment="1" applyProtection="1">
      <alignment horizontal="center" vertical="center"/>
      <protection locked="0"/>
    </xf>
    <xf numFmtId="4" fontId="9" fillId="0" borderId="26" xfId="0" applyNumberFormat="1" applyFont="1" applyBorder="1" applyAlignment="1" applyProtection="1">
      <alignment horizontal="center" vertical="center"/>
      <protection locked="0"/>
    </xf>
    <xf numFmtId="4" fontId="9" fillId="0" borderId="29" xfId="0" applyNumberFormat="1" applyFont="1" applyBorder="1" applyAlignment="1" applyProtection="1">
      <alignment horizontal="center" vertical="center" wrapText="1"/>
      <protection locked="0"/>
    </xf>
    <xf numFmtId="10" fontId="9" fillId="0" borderId="8" xfId="0" applyNumberFormat="1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4" fontId="9" fillId="0" borderId="10" xfId="0" applyNumberFormat="1" applyFont="1" applyBorder="1" applyAlignment="1" applyProtection="1">
      <alignment horizontal="center" vertical="center"/>
      <protection locked="0"/>
    </xf>
    <xf numFmtId="164" fontId="2" fillId="0" borderId="0" xfId="1" applyFont="1"/>
    <xf numFmtId="0" fontId="0" fillId="0" borderId="4" xfId="0" applyBorder="1"/>
    <xf numFmtId="165" fontId="0" fillId="0" borderId="4" xfId="0" applyNumberFormat="1" applyBorder="1"/>
    <xf numFmtId="164" fontId="2" fillId="0" borderId="4" xfId="1" applyFont="1" applyBorder="1"/>
    <xf numFmtId="0" fontId="4" fillId="0" borderId="4" xfId="0" applyFont="1" applyBorder="1" applyAlignment="1">
      <alignment horizontal="centerContinuous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5" xfId="0" applyBorder="1"/>
    <xf numFmtId="164" fontId="2" fillId="0" borderId="5" xfId="1" applyFont="1" applyBorder="1"/>
    <xf numFmtId="0" fontId="0" fillId="0" borderId="8" xfId="0" applyBorder="1"/>
    <xf numFmtId="0" fontId="0" fillId="0" borderId="1" xfId="0" applyBorder="1"/>
    <xf numFmtId="164" fontId="2" fillId="0" borderId="1" xfId="1" applyFont="1" applyBorder="1"/>
    <xf numFmtId="164" fontId="2" fillId="0" borderId="29" xfId="1" applyFont="1" applyBorder="1"/>
    <xf numFmtId="0" fontId="4" fillId="0" borderId="4" xfId="0" applyFont="1" applyBorder="1"/>
    <xf numFmtId="164" fontId="4" fillId="0" borderId="4" xfId="1" applyFont="1" applyBorder="1"/>
    <xf numFmtId="43" fontId="0" fillId="0" borderId="0" xfId="0" applyNumberFormat="1"/>
    <xf numFmtId="0" fontId="0" fillId="3" borderId="4" xfId="0" applyFill="1" applyBorder="1"/>
    <xf numFmtId="0" fontId="0" fillId="0" borderId="4" xfId="0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14" fillId="0" borderId="4" xfId="0" applyFont="1" applyBorder="1"/>
    <xf numFmtId="44" fontId="14" fillId="0" borderId="4" xfId="0" applyNumberFormat="1" applyFont="1" applyBorder="1"/>
    <xf numFmtId="44" fontId="0" fillId="0" borderId="4" xfId="0" applyNumberFormat="1" applyBorder="1"/>
    <xf numFmtId="166" fontId="14" fillId="5" borderId="4" xfId="0" applyNumberFormat="1" applyFont="1" applyFill="1" applyBorder="1"/>
    <xf numFmtId="44" fontId="15" fillId="6" borderId="4" xfId="0" applyNumberFormat="1" applyFont="1" applyFill="1" applyBorder="1"/>
    <xf numFmtId="0" fontId="3" fillId="4" borderId="4" xfId="0" applyFont="1" applyFill="1" applyBorder="1" applyAlignment="1">
      <alignment horizontal="center"/>
    </xf>
    <xf numFmtId="8" fontId="0" fillId="0" borderId="0" xfId="0" applyNumberFormat="1"/>
    <xf numFmtId="164" fontId="2" fillId="3" borderId="4" xfId="1" applyFont="1" applyFill="1" applyBorder="1"/>
    <xf numFmtId="0" fontId="16" fillId="0" borderId="3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3" fontId="9" fillId="0" borderId="24" xfId="0" applyNumberFormat="1" applyFont="1" applyBorder="1" applyAlignment="1">
      <alignment horizontal="center" vertical="center" wrapText="1"/>
    </xf>
    <xf numFmtId="3" fontId="9" fillId="0" borderId="31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 applyProtection="1">
      <alignment horizontal="center" vertical="center"/>
      <protection locked="0"/>
    </xf>
    <xf numFmtId="49" fontId="9" fillId="0" borderId="20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49" fontId="9" fillId="0" borderId="3" xfId="0" applyNumberFormat="1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3" fontId="9" fillId="0" borderId="35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1" fontId="7" fillId="0" borderId="23" xfId="0" applyNumberFormat="1" applyFont="1" applyBorder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" fontId="7" fillId="0" borderId="33" xfId="0" applyNumberFormat="1" applyFont="1" applyBorder="1" applyAlignment="1">
      <alignment horizontal="center" vertical="center"/>
    </xf>
    <xf numFmtId="1" fontId="7" fillId="0" borderId="32" xfId="0" applyNumberFormat="1" applyFont="1" applyBorder="1" applyAlignment="1">
      <alignment horizontal="center" vertical="center"/>
    </xf>
    <xf numFmtId="1" fontId="7" fillId="0" borderId="34" xfId="0" applyNumberFormat="1" applyFont="1" applyBorder="1" applyAlignment="1">
      <alignment horizontal="center" vertical="center"/>
    </xf>
    <xf numFmtId="1" fontId="7" fillId="0" borderId="30" xfId="0" applyNumberFormat="1" applyFont="1" applyBorder="1" applyAlignment="1">
      <alignment horizontal="center" vertical="center"/>
    </xf>
    <xf numFmtId="49" fontId="9" fillId="0" borderId="10" xfId="0" applyNumberFormat="1" applyFont="1" applyBorder="1" applyAlignment="1" applyProtection="1">
      <alignment horizontal="center" vertical="center"/>
      <protection locked="0"/>
    </xf>
    <xf numFmtId="49" fontId="9" fillId="0" borderId="12" xfId="0" applyNumberFormat="1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>
      <alignment horizontal="center" vertical="center" wrapText="1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8" xfId="0" applyNumberFormat="1" applyFont="1" applyBorder="1" applyAlignment="1" applyProtection="1">
      <alignment horizontal="center" vertical="center"/>
      <protection locked="0"/>
    </xf>
    <xf numFmtId="49" fontId="9" fillId="0" borderId="17" xfId="0" applyNumberFormat="1" applyFont="1" applyBorder="1" applyAlignment="1" applyProtection="1">
      <alignment horizontal="center" vertical="center"/>
      <protection locked="0"/>
    </xf>
    <xf numFmtId="49" fontId="9" fillId="0" borderId="36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166" fontId="13" fillId="8" borderId="7" xfId="1" applyNumberFormat="1" applyFont="1" applyFill="1" applyBorder="1" applyAlignment="1">
      <alignment horizontal="center" vertical="center"/>
    </xf>
    <xf numFmtId="166" fontId="13" fillId="8" borderId="25" xfId="1" applyNumberFormat="1" applyFont="1" applyFill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4" fontId="6" fillId="0" borderId="1" xfId="1" applyNumberFormat="1" applyFont="1" applyFill="1" applyBorder="1" applyAlignment="1" applyProtection="1">
      <alignment horizontal="center" vertical="center"/>
      <protection hidden="1"/>
    </xf>
    <xf numFmtId="4" fontId="6" fillId="0" borderId="24" xfId="1" applyNumberFormat="1" applyFont="1" applyFill="1" applyBorder="1" applyAlignment="1" applyProtection="1">
      <alignment horizontal="center" vertical="center"/>
      <protection hidden="1"/>
    </xf>
    <xf numFmtId="4" fontId="6" fillId="0" borderId="31" xfId="1" applyNumberFormat="1" applyFont="1" applyFill="1" applyBorder="1" applyAlignment="1" applyProtection="1">
      <alignment horizontal="center" vertical="center"/>
      <protection hidden="1"/>
    </xf>
    <xf numFmtId="0" fontId="16" fillId="0" borderId="2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25" xfId="0" applyNumberFormat="1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4" fontId="6" fillId="0" borderId="35" xfId="1" applyNumberFormat="1" applyFont="1" applyFill="1" applyBorder="1" applyAlignment="1" applyProtection="1">
      <alignment horizontal="center" vertical="center"/>
      <protection hidden="1"/>
    </xf>
    <xf numFmtId="4" fontId="6" fillId="0" borderId="13" xfId="1" applyNumberFormat="1" applyFont="1" applyFill="1" applyBorder="1" applyAlignment="1" applyProtection="1">
      <alignment horizontal="center" vertical="center"/>
      <protection hidden="1"/>
    </xf>
    <xf numFmtId="4" fontId="6" fillId="0" borderId="16" xfId="1" applyNumberFormat="1" applyFont="1" applyFill="1" applyBorder="1" applyAlignment="1" applyProtection="1">
      <alignment horizontal="center" vertical="center"/>
      <protection hidden="1"/>
    </xf>
    <xf numFmtId="4" fontId="7" fillId="0" borderId="1" xfId="1" applyNumberFormat="1" applyFont="1" applyFill="1" applyBorder="1" applyAlignment="1" applyProtection="1">
      <alignment horizontal="center" vertical="center"/>
      <protection hidden="1"/>
    </xf>
    <xf numFmtId="4" fontId="7" fillId="0" borderId="24" xfId="1" applyNumberFormat="1" applyFont="1" applyFill="1" applyBorder="1" applyAlignment="1" applyProtection="1">
      <alignment horizontal="center" vertical="center"/>
      <protection hidden="1"/>
    </xf>
    <xf numFmtId="4" fontId="7" fillId="0" borderId="31" xfId="1" applyNumberFormat="1" applyFont="1" applyFill="1" applyBorder="1" applyAlignment="1" applyProtection="1">
      <alignment horizontal="center" vertical="center"/>
      <protection hidden="1"/>
    </xf>
    <xf numFmtId="4" fontId="7" fillId="0" borderId="35" xfId="1" applyNumberFormat="1" applyFont="1" applyFill="1" applyBorder="1" applyAlignment="1" applyProtection="1">
      <alignment horizontal="center" vertical="center"/>
      <protection hidden="1"/>
    </xf>
    <xf numFmtId="4" fontId="7" fillId="0" borderId="27" xfId="1" applyNumberFormat="1" applyFont="1" applyFill="1" applyBorder="1" applyAlignment="1" applyProtection="1">
      <alignment horizontal="center" vertical="center"/>
      <protection hidden="1"/>
    </xf>
    <xf numFmtId="4" fontId="6" fillId="0" borderId="27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7" fillId="7" borderId="0" xfId="0" applyFont="1" applyFill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4" fontId="7" fillId="0" borderId="29" xfId="1" applyNumberFormat="1" applyFont="1" applyFill="1" applyBorder="1" applyAlignment="1" applyProtection="1">
      <alignment horizontal="center" vertical="center"/>
      <protection hidden="1"/>
    </xf>
    <xf numFmtId="4" fontId="7" fillId="0" borderId="23" xfId="1" applyNumberFormat="1" applyFont="1" applyFill="1" applyBorder="1" applyAlignment="1" applyProtection="1">
      <alignment horizontal="center" vertical="center"/>
      <protection hidden="1"/>
    </xf>
    <xf numFmtId="4" fontId="7" fillId="0" borderId="32" xfId="1" applyNumberFormat="1" applyFont="1" applyFill="1" applyBorder="1" applyAlignment="1" applyProtection="1">
      <alignment horizontal="center" vertical="center"/>
      <protection hidden="1"/>
    </xf>
    <xf numFmtId="4" fontId="7" fillId="0" borderId="4" xfId="1" applyNumberFormat="1" applyFont="1" applyFill="1" applyBorder="1" applyAlignment="1" applyProtection="1">
      <alignment horizontal="center" vertical="center"/>
      <protection hidden="1"/>
    </xf>
    <xf numFmtId="4" fontId="6" fillId="0" borderId="4" xfId="1" applyNumberFormat="1" applyFont="1" applyFill="1" applyBorder="1" applyAlignment="1" applyProtection="1">
      <alignment horizontal="center" vertical="center"/>
      <protection hidden="1"/>
    </xf>
    <xf numFmtId="4" fontId="7" fillId="0" borderId="16" xfId="1" applyNumberFormat="1" applyFont="1" applyFill="1" applyBorder="1" applyAlignment="1" applyProtection="1">
      <alignment horizontal="center" vertical="center"/>
      <protection hidden="1"/>
    </xf>
    <xf numFmtId="49" fontId="9" fillId="0" borderId="38" xfId="0" applyNumberFormat="1" applyFont="1" applyBorder="1" applyAlignment="1" applyProtection="1">
      <alignment horizontal="center" vertical="center"/>
      <protection locked="0"/>
    </xf>
    <xf numFmtId="4" fontId="7" fillId="0" borderId="13" xfId="1" applyNumberFormat="1" applyFont="1" applyFill="1" applyBorder="1" applyAlignment="1" applyProtection="1">
      <alignment horizontal="center" vertical="center"/>
      <protection hidden="1"/>
    </xf>
    <xf numFmtId="0" fontId="8" fillId="0" borderId="13" xfId="0" applyFont="1" applyBorder="1" applyAlignment="1">
      <alignment horizontal="center" vertical="center"/>
    </xf>
    <xf numFmtId="49" fontId="9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33" xfId="0" applyNumberFormat="1" applyFont="1" applyBorder="1" applyAlignment="1" applyProtection="1">
      <alignment horizontal="center" vertical="center"/>
      <protection locked="0"/>
    </xf>
    <xf numFmtId="4" fontId="7" fillId="0" borderId="6" xfId="1" applyNumberFormat="1" applyFont="1" applyFill="1" applyBorder="1" applyAlignment="1" applyProtection="1">
      <alignment horizontal="center" vertical="center"/>
      <protection hidden="1"/>
    </xf>
    <xf numFmtId="4" fontId="7" fillId="0" borderId="0" xfId="1" applyNumberFormat="1" applyFont="1" applyFill="1" applyBorder="1" applyAlignment="1" applyProtection="1">
      <alignment horizontal="center" vertical="center"/>
      <protection hidden="1"/>
    </xf>
    <xf numFmtId="4" fontId="7" fillId="0" borderId="34" xfId="1" applyNumberFormat="1" applyFont="1" applyFill="1" applyBorder="1" applyAlignment="1" applyProtection="1">
      <alignment horizontal="center" vertical="center"/>
      <protection hidden="1"/>
    </xf>
    <xf numFmtId="49" fontId="9" fillId="0" borderId="37" xfId="0" applyNumberFormat="1" applyFont="1" applyBorder="1" applyAlignment="1" applyProtection="1">
      <alignment horizontal="center" vertical="center"/>
      <protection locked="0"/>
    </xf>
    <xf numFmtId="3" fontId="8" fillId="0" borderId="1" xfId="0" applyNumberFormat="1" applyFont="1" applyBorder="1" applyAlignment="1">
      <alignment horizontal="center" vertical="center"/>
    </xf>
    <xf numFmtId="3" fontId="8" fillId="0" borderId="24" xfId="0" applyNumberFormat="1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7" fillId="7" borderId="34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43" fontId="0" fillId="0" borderId="1" xfId="0" applyNumberFormat="1" applyBorder="1"/>
    <xf numFmtId="43" fontId="0" fillId="0" borderId="24" xfId="0" applyNumberFormat="1" applyBorder="1"/>
    <xf numFmtId="43" fontId="0" fillId="0" borderId="24" xfId="0" applyNumberFormat="1" applyBorder="1" applyAlignment="1">
      <alignment shrinkToFit="1"/>
    </xf>
    <xf numFmtId="43" fontId="0" fillId="0" borderId="31" xfId="0" applyNumberFormat="1" applyBorder="1"/>
    <xf numFmtId="164" fontId="18" fillId="0" borderId="4" xfId="1" applyFont="1" applyFill="1" applyBorder="1"/>
    <xf numFmtId="164" fontId="4" fillId="0" borderId="4" xfId="1" applyFont="1" applyFill="1" applyBorder="1"/>
    <xf numFmtId="0" fontId="19" fillId="0" borderId="4" xfId="0" applyFont="1" applyBorder="1"/>
    <xf numFmtId="164" fontId="19" fillId="0" borderId="4" xfId="1" applyFont="1" applyBorder="1"/>
  </cellXfs>
  <cellStyles count="2">
    <cellStyle name="Moeda" xfId="1" builtinId="4"/>
    <cellStyle name="Normal" xfId="0" builtinId="0"/>
  </cellStyles>
  <dxfs count="19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0</xdr:rowOff>
    </xdr:from>
    <xdr:to>
      <xdr:col>4</xdr:col>
      <xdr:colOff>0</xdr:colOff>
      <xdr:row>2</xdr:row>
      <xdr:rowOff>0</xdr:rowOff>
    </xdr:to>
    <xdr:pic>
      <xdr:nvPicPr>
        <xdr:cNvPr id="1398786" name="Imagem 1">
          <a:extLst>
            <a:ext uri="{FF2B5EF4-FFF2-40B4-BE49-F238E27FC236}">
              <a16:creationId xmlns:a16="http://schemas.microsoft.com/office/drawing/2014/main" id="{F8ECE997-6141-5527-0867-C023A3DD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4287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</xdr:colOff>
      <xdr:row>0</xdr:row>
      <xdr:rowOff>19050</xdr:rowOff>
    </xdr:from>
    <xdr:to>
      <xdr:col>1</xdr:col>
      <xdr:colOff>831850</xdr:colOff>
      <xdr:row>1</xdr:row>
      <xdr:rowOff>349250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6E73B623-3848-4BBE-9D37-1DE8039D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050"/>
          <a:ext cx="150177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AA9D5D1-6B9F-4AFB-A4AE-31480DAE3189}" name="Tabela16" displayName="Tabela16" ref="A1:H15" totalsRowShown="0">
  <autoFilter ref="A1:H15" xr:uid="{2F113F0C-8489-47CE-9125-7E18DA177DE9}"/>
  <tableColumns count="8">
    <tableColumn id="1" xr3:uid="{00000000-0010-0000-0100-000001000000}" name="Lote" dataDxfId="18"/>
    <tableColumn id="2" xr3:uid="{00000000-0010-0000-0100-000002000000}" name="Torre" dataDxfId="17"/>
    <tableColumn id="3" xr3:uid="{00000000-0010-0000-0100-000003000000}" name="Perfis profissionais" dataDxfId="16"/>
    <tableColumn id="4" xr3:uid="{00000000-0010-0000-0100-000004000000}" name="Nível" dataDxfId="15"/>
    <tableColumn id="7" xr3:uid="{00000000-0010-0000-0100-000007000000}" name="Qtde de Profissionais" dataDxfId="14"/>
    <tableColumn id="8" xr3:uid="{00000000-0010-0000-0100-000008000000}" name="Salário médio estimado com Fator K" dataDxfId="13"/>
    <tableColumn id="9" xr3:uid="{00000000-0010-0000-0100-000009000000}" name="Custo Total do Perfil" dataDxfId="12" dataCellStyle="Moeda"/>
    <tableColumn id="10" xr3:uid="{00000000-0010-0000-0100-00000A000000}" name="Custo Total 2 Anos" dataDxfId="11" dataCellStyle="Moeda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2BEC72B-E106-4F51-85D2-7DC02DEE8217}" name="Tabela27" displayName="Tabela27" ref="A28:G32" totalsRowShown="0" headerRowDxfId="10" headerRowBorderDxfId="9" tableBorderDxfId="8" totalsRowBorderDxfId="7">
  <autoFilter ref="A28:G32" xr:uid="{46DCA4B9-083C-4B85-8DD9-50CFBDCE8A82}"/>
  <tableColumns count="7">
    <tableColumn id="1" xr3:uid="{00000000-0010-0000-0300-000001000000}" name="CBO de Referência" dataDxfId="6"/>
    <tableColumn id="2" xr3:uid="{00000000-0010-0000-0300-000002000000}" name="Cód. Identificação do Perfil" dataDxfId="5"/>
    <tableColumn id="3" xr3:uid="{00000000-0010-0000-0300-000003000000}" name="Descrição do Perfil" dataDxfId="4"/>
    <tableColumn id="4" xr3:uid="{00000000-0010-0000-0300-000004000000}" name="Nível" dataDxfId="3"/>
    <tableColumn id="5" xr3:uid="{00000000-0010-0000-0300-000005000000}" name="Valor Salarial (R$)" dataDxfId="2" dataCellStyle="Moeda"/>
    <tableColumn id="6" xr3:uid="{00000000-0010-0000-0300-000006000000}" name="Fator K" dataDxfId="1"/>
    <tableColumn id="7" xr3:uid="{00000000-0010-0000-0300-000007000000}" name="Custo mensal (R$)" dataDxfId="0" dataCellStyle="Moeda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0872F-AAEE-47C3-BD91-EA49BD9520DE}">
  <sheetPr>
    <pageSetUpPr fitToPage="1"/>
  </sheetPr>
  <dimension ref="A1:T141"/>
  <sheetViews>
    <sheetView showGridLines="0" zoomScaleNormal="100" workbookViewId="0">
      <selection activeCell="F1" sqref="F1:L2"/>
    </sheetView>
  </sheetViews>
  <sheetFormatPr defaultRowHeight="14.5" x14ac:dyDescent="0.35"/>
  <cols>
    <col min="1" max="1" width="3.54296875" style="2" customWidth="1"/>
    <col min="2" max="2" width="4.90625" style="2" customWidth="1"/>
    <col min="3" max="3" width="5.453125" customWidth="1"/>
    <col min="4" max="4" width="11.54296875" style="76" customWidth="1"/>
    <col min="5" max="5" width="4.90625" style="75" customWidth="1"/>
    <col min="6" max="6" width="4.54296875" style="75" customWidth="1"/>
    <col min="7" max="7" width="49.54296875" style="1" customWidth="1"/>
    <col min="8" max="8" width="65.6328125" style="1" customWidth="1"/>
    <col min="9" max="9" width="11.08984375" style="1" customWidth="1"/>
    <col min="10" max="10" width="8.6328125" style="1" hidden="1" customWidth="1"/>
    <col min="11" max="11" width="4.36328125" style="2" customWidth="1"/>
    <col min="12" max="12" width="8.6328125" hidden="1" customWidth="1"/>
    <col min="13" max="13" width="8.6328125" style="14" hidden="1" customWidth="1"/>
    <col min="14" max="14" width="10" hidden="1" customWidth="1"/>
    <col min="15" max="15" width="0.6328125" hidden="1" customWidth="1"/>
    <col min="16" max="16" width="8.36328125" bestFit="1" customWidth="1"/>
    <col min="17" max="17" width="10" bestFit="1" customWidth="1"/>
    <col min="18" max="18" width="0.6328125" hidden="1" customWidth="1"/>
    <col min="19" max="19" width="8.36328125" hidden="1" customWidth="1"/>
    <col min="20" max="20" width="10" hidden="1" customWidth="1"/>
  </cols>
  <sheetData>
    <row r="1" spans="1:20" ht="26.15" customHeight="1" x14ac:dyDescent="0.35">
      <c r="A1" s="206"/>
      <c r="B1" s="206"/>
      <c r="C1" s="206"/>
      <c r="D1" s="206"/>
      <c r="E1" s="206"/>
      <c r="F1" s="214" t="s">
        <v>0</v>
      </c>
      <c r="G1" s="214"/>
      <c r="H1" s="214"/>
      <c r="I1" s="214"/>
      <c r="J1" s="214"/>
      <c r="K1" s="214"/>
      <c r="L1" s="214"/>
      <c r="M1" s="211" t="s">
        <v>1</v>
      </c>
      <c r="N1" s="211"/>
      <c r="O1" s="211"/>
      <c r="P1" s="211"/>
      <c r="Q1" s="211"/>
      <c r="R1" s="211"/>
      <c r="S1" s="211"/>
      <c r="T1" s="211"/>
    </row>
    <row r="2" spans="1:20" x14ac:dyDescent="0.35">
      <c r="A2" s="206"/>
      <c r="B2" s="206"/>
      <c r="C2" s="206"/>
      <c r="D2" s="206"/>
      <c r="E2" s="206"/>
      <c r="F2" s="214"/>
      <c r="G2" s="214"/>
      <c r="H2" s="214"/>
      <c r="I2" s="214"/>
      <c r="J2" s="214"/>
      <c r="K2" s="214"/>
      <c r="L2" s="214"/>
      <c r="M2" s="212" t="s">
        <v>2</v>
      </c>
      <c r="N2" s="213"/>
      <c r="O2" s="60"/>
      <c r="P2" s="212" t="s">
        <v>3</v>
      </c>
      <c r="Q2" s="213"/>
      <c r="R2" s="60"/>
      <c r="S2" s="212" t="s">
        <v>4</v>
      </c>
      <c r="T2" s="213"/>
    </row>
    <row r="3" spans="1:20" ht="2.4" customHeight="1" x14ac:dyDescent="0.35">
      <c r="C3" s="2"/>
      <c r="D3" s="2"/>
      <c r="E3" s="2"/>
      <c r="F3" s="57"/>
      <c r="G3" s="57"/>
      <c r="H3" s="57"/>
      <c r="I3" s="58"/>
      <c r="J3" s="58">
        <v>268</v>
      </c>
      <c r="K3" s="58"/>
      <c r="L3" s="58"/>
      <c r="M3" s="58"/>
      <c r="N3" s="58"/>
      <c r="O3" s="58"/>
      <c r="P3" s="58"/>
      <c r="Q3" s="58"/>
      <c r="R3" s="58"/>
      <c r="S3" s="58"/>
      <c r="T3" s="58"/>
    </row>
    <row r="4" spans="1:20" ht="12" customHeight="1" x14ac:dyDescent="0.35">
      <c r="A4" s="153" t="s">
        <v>5</v>
      </c>
      <c r="B4" s="154"/>
      <c r="C4" s="154"/>
      <c r="D4" s="154"/>
      <c r="E4" s="155"/>
      <c r="F4" s="153" t="s">
        <v>6</v>
      </c>
      <c r="G4" s="154"/>
      <c r="H4" s="155"/>
      <c r="I4" s="153" t="s">
        <v>7</v>
      </c>
      <c r="J4" s="154"/>
      <c r="K4" s="154"/>
      <c r="L4" s="155"/>
      <c r="M4" s="153" t="s">
        <v>8</v>
      </c>
      <c r="N4" s="155"/>
      <c r="O4" s="59"/>
      <c r="P4" s="153" t="s">
        <v>8</v>
      </c>
      <c r="Q4" s="155"/>
      <c r="R4" s="59"/>
      <c r="S4" s="153" t="s">
        <v>8</v>
      </c>
      <c r="T4" s="155"/>
    </row>
    <row r="5" spans="1:20" s="1" customFormat="1" ht="15" customHeight="1" x14ac:dyDescent="0.35">
      <c r="A5" s="160">
        <v>27014</v>
      </c>
      <c r="B5" s="161"/>
      <c r="C5" s="161"/>
      <c r="D5" s="161"/>
      <c r="E5" s="162"/>
      <c r="F5" s="174" t="s">
        <v>9</v>
      </c>
      <c r="G5" s="175"/>
      <c r="H5" s="176"/>
      <c r="I5" s="207" t="s">
        <v>10</v>
      </c>
      <c r="J5" s="208"/>
      <c r="K5" s="208"/>
      <c r="L5" s="209"/>
      <c r="M5" s="193" t="s">
        <v>11</v>
      </c>
      <c r="N5" s="194"/>
      <c r="P5" s="193" t="s">
        <v>11</v>
      </c>
      <c r="Q5" s="194"/>
      <c r="S5" s="193" t="s">
        <v>11</v>
      </c>
      <c r="T5" s="194"/>
    </row>
    <row r="6" spans="1:20" ht="15" customHeight="1" x14ac:dyDescent="0.35">
      <c r="A6" s="163"/>
      <c r="B6" s="164"/>
      <c r="C6" s="164"/>
      <c r="D6" s="164"/>
      <c r="E6" s="165"/>
      <c r="F6" s="177"/>
      <c r="G6" s="178"/>
      <c r="H6" s="179"/>
      <c r="I6" s="193"/>
      <c r="J6" s="210"/>
      <c r="K6" s="210"/>
      <c r="L6" s="194"/>
      <c r="M6" s="195" t="s">
        <v>12</v>
      </c>
      <c r="N6" s="196"/>
      <c r="P6" s="195" t="s">
        <v>12</v>
      </c>
      <c r="Q6" s="196"/>
      <c r="S6" s="195" t="s">
        <v>12</v>
      </c>
      <c r="T6" s="196"/>
    </row>
    <row r="7" spans="1:20" ht="24" customHeight="1" x14ac:dyDescent="0.35">
      <c r="A7" s="45" t="s">
        <v>13</v>
      </c>
      <c r="B7" s="45" t="s">
        <v>14</v>
      </c>
      <c r="C7" s="45" t="s">
        <v>15</v>
      </c>
      <c r="D7" s="11" t="s">
        <v>16</v>
      </c>
      <c r="E7" s="191" t="s">
        <v>17</v>
      </c>
      <c r="F7" s="192"/>
      <c r="G7" s="12" t="s">
        <v>18</v>
      </c>
      <c r="H7" s="12" t="s">
        <v>19</v>
      </c>
      <c r="I7" s="13" t="s">
        <v>20</v>
      </c>
      <c r="J7" s="18" t="s">
        <v>21</v>
      </c>
      <c r="K7" s="78"/>
      <c r="L7" s="19" t="s">
        <v>22</v>
      </c>
      <c r="M7" s="20" t="s">
        <v>23</v>
      </c>
      <c r="N7" s="19" t="s">
        <v>24</v>
      </c>
      <c r="P7" s="5" t="s">
        <v>23</v>
      </c>
      <c r="Q7" s="4" t="s">
        <v>24</v>
      </c>
      <c r="S7" s="5" t="s">
        <v>23</v>
      </c>
      <c r="T7" s="4" t="s">
        <v>24</v>
      </c>
    </row>
    <row r="8" spans="1:20" x14ac:dyDescent="0.35">
      <c r="A8" s="158">
        <v>1</v>
      </c>
      <c r="B8" s="182">
        <v>1</v>
      </c>
      <c r="C8" s="156">
        <v>24</v>
      </c>
      <c r="D8" s="88" t="s">
        <v>25</v>
      </c>
      <c r="E8" s="169" t="s">
        <v>26</v>
      </c>
      <c r="F8" s="170"/>
      <c r="G8" s="89" t="s">
        <v>27</v>
      </c>
      <c r="H8" s="90" t="s">
        <v>28</v>
      </c>
      <c r="I8" s="32">
        <v>45776.91</v>
      </c>
      <c r="J8" s="49">
        <f t="shared" ref="J8:J13" si="0">IF(AND((STDEV(I$8:I$13)/AVERAGE(I$8:I$13))&lt;=0.25,ISNUMBER(I8)),I8,IF(AND(I8&lt;=(AVERAGE(I$8:I$13)+STDEV(I$8:I$13)),I8&gt;=(AVERAGE(I$8:I$13)-STDEV(I$8:I$13)),ISNUMBER(I8)),I8,""))</f>
        <v>45776.91</v>
      </c>
      <c r="K8" s="6" t="str">
        <f t="shared" ref="K8:K13" si="1">IF(AND(COUNT(I$8:I$13)=1,ISNUMBER(I8)),"Sim",IF(AND((STDEV(J$8:J$13)/AVERAGE(J$8:J$13))&lt;0.25,ISNUMBER(J8)),"Sim",IF(AND(J8&lt;=(AVERAGE(J$8:J$13)+STDEV(J$8:J$13)),J8&gt;=(AVERAGE(J$8:J$13)-STDEV(J$8:J$13)),ISNUMBER(J8)),"Sim","Não")))</f>
        <v>Sim</v>
      </c>
      <c r="L8" s="23">
        <f t="shared" ref="L8:L13" si="2">IF(K8="Sim",J8,"")</f>
        <v>45776.91</v>
      </c>
      <c r="M8" s="203">
        <f>IF(COUNT(I8:I13)=1,I8,IF((COUNT(L8:L13)&lt;3),MIN(L8:L13),AVERAGE(L8:L13)))</f>
        <v>56751.91</v>
      </c>
      <c r="N8" s="197">
        <f>C8*M8</f>
        <v>1362045.84</v>
      </c>
      <c r="P8" s="200">
        <f>ROUND(IF(COUNT(L8:L13)=1,L8,(MIN(L8:L13))),2)</f>
        <v>45776.91</v>
      </c>
      <c r="Q8" s="184">
        <f>C8*P8</f>
        <v>1098645.8400000001</v>
      </c>
      <c r="R8" s="1"/>
      <c r="S8" s="200">
        <f>MIN(I8:I13)</f>
        <v>24000</v>
      </c>
      <c r="T8" s="184">
        <f>ROUND((C8*S8),2)</f>
        <v>576000</v>
      </c>
    </row>
    <row r="9" spans="1:20" ht="15" customHeight="1" x14ac:dyDescent="0.35">
      <c r="A9" s="140"/>
      <c r="B9" s="215"/>
      <c r="C9" s="168"/>
      <c r="D9" s="71" t="s">
        <v>25</v>
      </c>
      <c r="E9" s="166" t="s">
        <v>29</v>
      </c>
      <c r="F9" s="167"/>
      <c r="G9" s="72" t="s">
        <v>30</v>
      </c>
      <c r="H9" s="73" t="s">
        <v>31</v>
      </c>
      <c r="I9" s="24">
        <v>52416.22</v>
      </c>
      <c r="J9" s="25">
        <f t="shared" si="0"/>
        <v>52416.22</v>
      </c>
      <c r="K9" s="26" t="str">
        <f t="shared" si="1"/>
        <v>Sim</v>
      </c>
      <c r="L9" s="27">
        <f t="shared" si="2"/>
        <v>52416.22</v>
      </c>
      <c r="M9" s="204"/>
      <c r="N9" s="205"/>
      <c r="P9" s="201"/>
      <c r="Q9" s="185"/>
      <c r="S9" s="201"/>
      <c r="T9" s="185"/>
    </row>
    <row r="10" spans="1:20" ht="15" customHeight="1" x14ac:dyDescent="0.35">
      <c r="A10" s="140"/>
      <c r="B10" s="144"/>
      <c r="C10" s="147"/>
      <c r="D10" s="71" t="s">
        <v>32</v>
      </c>
      <c r="E10" s="149" t="s">
        <v>33</v>
      </c>
      <c r="F10" s="150"/>
      <c r="G10" s="72" t="s">
        <v>34</v>
      </c>
      <c r="H10" s="73" t="s">
        <v>35</v>
      </c>
      <c r="I10" s="24">
        <v>51891.43</v>
      </c>
      <c r="J10" s="25">
        <f t="shared" si="0"/>
        <v>51891.43</v>
      </c>
      <c r="K10" s="26" t="str">
        <f t="shared" si="1"/>
        <v>Sim</v>
      </c>
      <c r="L10" s="27">
        <f t="shared" si="2"/>
        <v>51891.43</v>
      </c>
      <c r="M10" s="201"/>
      <c r="N10" s="185"/>
      <c r="P10" s="201"/>
      <c r="Q10" s="185"/>
      <c r="S10" s="201"/>
      <c r="T10" s="185"/>
    </row>
    <row r="11" spans="1:20" ht="15" customHeight="1" x14ac:dyDescent="0.35">
      <c r="A11" s="140"/>
      <c r="B11" s="144"/>
      <c r="C11" s="147"/>
      <c r="D11" s="71" t="s">
        <v>32</v>
      </c>
      <c r="E11" s="149" t="s">
        <v>33</v>
      </c>
      <c r="F11" s="150"/>
      <c r="G11" s="72" t="s">
        <v>36</v>
      </c>
      <c r="H11" s="73" t="s">
        <v>37</v>
      </c>
      <c r="I11" s="24">
        <v>105008</v>
      </c>
      <c r="J11" s="25" t="str">
        <f t="shared" si="0"/>
        <v/>
      </c>
      <c r="K11" s="26" t="str">
        <f t="shared" si="1"/>
        <v>Não</v>
      </c>
      <c r="L11" s="27" t="str">
        <f t="shared" si="2"/>
        <v/>
      </c>
      <c r="M11" s="201"/>
      <c r="N11" s="185"/>
      <c r="P11" s="201"/>
      <c r="Q11" s="185"/>
      <c r="S11" s="201"/>
      <c r="T11" s="185"/>
    </row>
    <row r="12" spans="1:20" ht="15" customHeight="1" x14ac:dyDescent="0.35">
      <c r="A12" s="140"/>
      <c r="B12" s="144"/>
      <c r="C12" s="147"/>
      <c r="D12" s="71" t="s">
        <v>25</v>
      </c>
      <c r="E12" s="149" t="s">
        <v>38</v>
      </c>
      <c r="F12" s="150"/>
      <c r="G12" s="72" t="s">
        <v>39</v>
      </c>
      <c r="H12" s="73" t="s">
        <v>40</v>
      </c>
      <c r="I12" s="24">
        <v>76923.08</v>
      </c>
      <c r="J12" s="25">
        <f t="shared" si="0"/>
        <v>76923.08</v>
      </c>
      <c r="K12" s="26" t="str">
        <f t="shared" si="1"/>
        <v>Sim</v>
      </c>
      <c r="L12" s="27">
        <f t="shared" si="2"/>
        <v>76923.08</v>
      </c>
      <c r="M12" s="201"/>
      <c r="N12" s="185"/>
      <c r="P12" s="201"/>
      <c r="Q12" s="185"/>
      <c r="S12" s="201"/>
      <c r="T12" s="185"/>
    </row>
    <row r="13" spans="1:20" ht="15" customHeight="1" x14ac:dyDescent="0.35">
      <c r="A13" s="159"/>
      <c r="B13" s="145"/>
      <c r="C13" s="148"/>
      <c r="D13" s="80" t="s">
        <v>25</v>
      </c>
      <c r="E13" s="151" t="s">
        <v>41</v>
      </c>
      <c r="F13" s="152"/>
      <c r="G13" s="81" t="s">
        <v>42</v>
      </c>
      <c r="H13" s="82" t="s">
        <v>43</v>
      </c>
      <c r="I13" s="28">
        <v>24000</v>
      </c>
      <c r="J13" s="29" t="str">
        <f t="shared" si="0"/>
        <v/>
      </c>
      <c r="K13" s="7" t="str">
        <f t="shared" si="1"/>
        <v>Não</v>
      </c>
      <c r="L13" s="30" t="str">
        <f t="shared" si="2"/>
        <v/>
      </c>
      <c r="M13" s="202"/>
      <c r="N13" s="186"/>
      <c r="P13" s="202"/>
      <c r="Q13" s="186"/>
      <c r="S13" s="202"/>
      <c r="T13" s="186"/>
    </row>
    <row r="14" spans="1:20" ht="4.5" customHeight="1" x14ac:dyDescent="0.35">
      <c r="A14" s="8"/>
      <c r="B14" s="8"/>
      <c r="C14" s="31"/>
      <c r="D14" s="67"/>
      <c r="E14" s="67"/>
      <c r="F14" s="67"/>
      <c r="G14" s="68"/>
      <c r="H14" s="68"/>
      <c r="I14" s="69"/>
      <c r="J14" s="70"/>
      <c r="K14" s="9"/>
      <c r="L14" s="9"/>
      <c r="M14" s="46"/>
      <c r="N14" s="10"/>
    </row>
    <row r="15" spans="1:20" ht="12" customHeight="1" x14ac:dyDescent="0.35">
      <c r="A15" s="153" t="s">
        <v>5</v>
      </c>
      <c r="B15" s="154"/>
      <c r="C15" s="154"/>
      <c r="D15" s="154"/>
      <c r="E15" s="155"/>
      <c r="F15" s="153" t="s">
        <v>6</v>
      </c>
      <c r="G15" s="154"/>
      <c r="H15" s="155"/>
      <c r="I15" s="153" t="s">
        <v>7</v>
      </c>
      <c r="J15" s="154"/>
      <c r="K15" s="154"/>
      <c r="L15" s="155"/>
      <c r="M15" s="153" t="s">
        <v>8</v>
      </c>
      <c r="N15" s="155"/>
      <c r="P15" s="153" t="s">
        <v>8</v>
      </c>
      <c r="Q15" s="155"/>
      <c r="S15" s="153" t="s">
        <v>8</v>
      </c>
      <c r="T15" s="155"/>
    </row>
    <row r="16" spans="1:20" s="1" customFormat="1" ht="15" customHeight="1" x14ac:dyDescent="0.35">
      <c r="A16" s="160">
        <v>27014</v>
      </c>
      <c r="B16" s="161"/>
      <c r="C16" s="161"/>
      <c r="D16" s="161"/>
      <c r="E16" s="162"/>
      <c r="F16" s="174" t="s">
        <v>44</v>
      </c>
      <c r="G16" s="175"/>
      <c r="H16" s="176"/>
      <c r="I16" s="207" t="s">
        <v>10</v>
      </c>
      <c r="J16" s="208"/>
      <c r="K16" s="208"/>
      <c r="L16" s="209"/>
      <c r="M16" s="193" t="s">
        <v>11</v>
      </c>
      <c r="N16" s="194"/>
      <c r="P16" s="193" t="s">
        <v>11</v>
      </c>
      <c r="Q16" s="194"/>
      <c r="S16" s="193" t="s">
        <v>11</v>
      </c>
      <c r="T16" s="194"/>
    </row>
    <row r="17" spans="1:20" ht="15" customHeight="1" x14ac:dyDescent="0.35">
      <c r="A17" s="163"/>
      <c r="B17" s="164"/>
      <c r="C17" s="164"/>
      <c r="D17" s="164"/>
      <c r="E17" s="165"/>
      <c r="F17" s="177"/>
      <c r="G17" s="178"/>
      <c r="H17" s="179"/>
      <c r="I17" s="193"/>
      <c r="J17" s="210"/>
      <c r="K17" s="210"/>
      <c r="L17" s="194"/>
      <c r="M17" s="195" t="s">
        <v>12</v>
      </c>
      <c r="N17" s="196"/>
      <c r="P17" s="195" t="s">
        <v>12</v>
      </c>
      <c r="Q17" s="196"/>
      <c r="S17" s="195" t="s">
        <v>12</v>
      </c>
      <c r="T17" s="196"/>
    </row>
    <row r="18" spans="1:20" ht="24" customHeight="1" x14ac:dyDescent="0.35">
      <c r="A18" s="45" t="s">
        <v>13</v>
      </c>
      <c r="B18" s="45" t="s">
        <v>14</v>
      </c>
      <c r="C18" s="45" t="s">
        <v>15</v>
      </c>
      <c r="D18" s="11" t="s">
        <v>16</v>
      </c>
      <c r="E18" s="191" t="s">
        <v>17</v>
      </c>
      <c r="F18" s="192"/>
      <c r="G18" s="12" t="s">
        <v>18</v>
      </c>
      <c r="H18" s="12" t="s">
        <v>19</v>
      </c>
      <c r="I18" s="13" t="s">
        <v>20</v>
      </c>
      <c r="J18" s="18" t="s">
        <v>21</v>
      </c>
      <c r="K18" s="78"/>
      <c r="L18" s="19" t="s">
        <v>22</v>
      </c>
      <c r="M18" s="20" t="s">
        <v>23</v>
      </c>
      <c r="N18" s="19" t="s">
        <v>24</v>
      </c>
      <c r="P18" s="5" t="s">
        <v>23</v>
      </c>
      <c r="Q18" s="4" t="s">
        <v>24</v>
      </c>
      <c r="S18" s="5" t="s">
        <v>23</v>
      </c>
      <c r="T18" s="4" t="s">
        <v>24</v>
      </c>
    </row>
    <row r="19" spans="1:20" s="1" customFormat="1" ht="15" customHeight="1" x14ac:dyDescent="0.35">
      <c r="A19" s="158">
        <v>1</v>
      </c>
      <c r="B19" s="182">
        <v>2</v>
      </c>
      <c r="C19" s="156">
        <v>24</v>
      </c>
      <c r="D19" s="88" t="s">
        <v>25</v>
      </c>
      <c r="E19" s="169" t="s">
        <v>26</v>
      </c>
      <c r="F19" s="170"/>
      <c r="G19" s="89" t="s">
        <v>27</v>
      </c>
      <c r="H19" s="90" t="s">
        <v>28</v>
      </c>
      <c r="I19" s="32">
        <v>35466.769999999997</v>
      </c>
      <c r="J19" s="33">
        <f t="shared" ref="J19:J24" si="3">IF(AND((STDEV(I$19:I$24)/AVERAGE(I$19:I$24))&lt;=0.25,ISNUMBER(I19)),I19,IF(AND(I19&lt;=(AVERAGE(I$19:I$24)+STDEV(I$19:I$24)),I19&gt;=(AVERAGE(I$19:I$24)-STDEV(I$19:I$24)),ISNUMBER(I19)),I19,""))</f>
        <v>35466.769999999997</v>
      </c>
      <c r="K19" s="21" t="str">
        <f t="shared" ref="K19:K24" si="4">IF(AND(COUNT(I$19:I$24)=1,ISNUMBER(I19)),"Sim",IF(AND((STDEV(J$19:J$24)/AVERAGE(J$19:J$24))&lt;0.25,ISNUMBER(J19)),"Sim",IF(AND(J19&lt;=(AVERAGE(J$19:J$24)+STDEV(J$19:J$24)),J19&gt;=(AVERAGE(J$19:J$24)-STDEV(J$19:J$24)),ISNUMBER(J19)),"Sim","Não")))</f>
        <v>Sim</v>
      </c>
      <c r="L19" s="22">
        <f t="shared" ref="L19:L24" si="5">IF(K19="Sim",J19,"")</f>
        <v>35466.769999999997</v>
      </c>
      <c r="M19" s="203">
        <f>IF(COUNT(I19:I24)=1,I19,IF((COUNT(L19:L24)&lt;3),MIN(L19:L24),AVERAGE(L19:L24)))</f>
        <v>32786.33</v>
      </c>
      <c r="N19" s="197">
        <f>C19*M19</f>
        <v>786871.92</v>
      </c>
      <c r="P19" s="200">
        <f>ROUND(IF(COUNT(L19:L24)=1,L19,(MIN(L19:L24))),2)</f>
        <v>32786.33</v>
      </c>
      <c r="Q19" s="184">
        <f>C19*P19</f>
        <v>786871.92</v>
      </c>
      <c r="S19" s="200">
        <f>MIN(I19:I24)</f>
        <v>24000</v>
      </c>
      <c r="T19" s="184">
        <f>ROUND((C19*S19),2)</f>
        <v>576000</v>
      </c>
    </row>
    <row r="20" spans="1:20" x14ac:dyDescent="0.35">
      <c r="A20" s="140"/>
      <c r="B20" s="215"/>
      <c r="C20" s="168"/>
      <c r="D20" s="71" t="s">
        <v>25</v>
      </c>
      <c r="E20" s="166" t="s">
        <v>29</v>
      </c>
      <c r="F20" s="167"/>
      <c r="G20" s="72" t="s">
        <v>30</v>
      </c>
      <c r="H20" s="73" t="s">
        <v>31</v>
      </c>
      <c r="I20" s="34">
        <v>79462.03</v>
      </c>
      <c r="J20" s="66" t="str">
        <f t="shared" si="3"/>
        <v/>
      </c>
      <c r="K20" s="65" t="str">
        <f t="shared" si="4"/>
        <v>Não</v>
      </c>
      <c r="L20" s="23" t="str">
        <f t="shared" si="5"/>
        <v/>
      </c>
      <c r="M20" s="204"/>
      <c r="N20" s="205"/>
      <c r="P20" s="201"/>
      <c r="Q20" s="185"/>
      <c r="S20" s="201"/>
      <c r="T20" s="185"/>
    </row>
    <row r="21" spans="1:20" x14ac:dyDescent="0.35">
      <c r="A21" s="140"/>
      <c r="B21" s="144"/>
      <c r="C21" s="147"/>
      <c r="D21" s="71" t="s">
        <v>32</v>
      </c>
      <c r="E21" s="149" t="s">
        <v>33</v>
      </c>
      <c r="F21" s="150"/>
      <c r="G21" s="72" t="s">
        <v>34</v>
      </c>
      <c r="H21" s="73" t="s">
        <v>35</v>
      </c>
      <c r="I21" s="34">
        <v>32786.33</v>
      </c>
      <c r="J21" s="66">
        <f t="shared" si="3"/>
        <v>32786.33</v>
      </c>
      <c r="K21" s="65" t="str">
        <f t="shared" si="4"/>
        <v>Sim</v>
      </c>
      <c r="L21" s="23">
        <f t="shared" si="5"/>
        <v>32786.33</v>
      </c>
      <c r="M21" s="201"/>
      <c r="N21" s="185"/>
      <c r="P21" s="201"/>
      <c r="Q21" s="185"/>
      <c r="S21" s="201"/>
      <c r="T21" s="185"/>
    </row>
    <row r="22" spans="1:20" x14ac:dyDescent="0.35">
      <c r="A22" s="140"/>
      <c r="B22" s="144"/>
      <c r="C22" s="147"/>
      <c r="D22" s="71" t="s">
        <v>32</v>
      </c>
      <c r="E22" s="149" t="s">
        <v>33</v>
      </c>
      <c r="F22" s="150"/>
      <c r="G22" s="72" t="s">
        <v>36</v>
      </c>
      <c r="H22" s="73" t="s">
        <v>37</v>
      </c>
      <c r="I22" s="34">
        <v>85365</v>
      </c>
      <c r="J22" s="66" t="str">
        <f t="shared" si="3"/>
        <v/>
      </c>
      <c r="K22" s="65" t="str">
        <f t="shared" si="4"/>
        <v>Não</v>
      </c>
      <c r="L22" s="23" t="str">
        <f t="shared" si="5"/>
        <v/>
      </c>
      <c r="M22" s="201"/>
      <c r="N22" s="185"/>
      <c r="P22" s="201"/>
      <c r="Q22" s="185"/>
      <c r="S22" s="201"/>
      <c r="T22" s="185"/>
    </row>
    <row r="23" spans="1:20" x14ac:dyDescent="0.35">
      <c r="A23" s="140"/>
      <c r="B23" s="144"/>
      <c r="C23" s="147"/>
      <c r="D23" s="71" t="s">
        <v>25</v>
      </c>
      <c r="E23" s="149" t="s">
        <v>38</v>
      </c>
      <c r="F23" s="150"/>
      <c r="G23" s="72" t="s">
        <v>39</v>
      </c>
      <c r="H23" s="73" t="s">
        <v>40</v>
      </c>
      <c r="I23" s="54">
        <v>57692.31</v>
      </c>
      <c r="J23" s="66">
        <f t="shared" si="3"/>
        <v>57692.31</v>
      </c>
      <c r="K23" s="65" t="str">
        <f t="shared" si="4"/>
        <v>Não</v>
      </c>
      <c r="L23" s="23" t="str">
        <f t="shared" si="5"/>
        <v/>
      </c>
      <c r="M23" s="201"/>
      <c r="N23" s="185"/>
      <c r="P23" s="201"/>
      <c r="Q23" s="185"/>
      <c r="S23" s="201"/>
      <c r="T23" s="185"/>
    </row>
    <row r="24" spans="1:20" x14ac:dyDescent="0.35">
      <c r="A24" s="159"/>
      <c r="B24" s="145"/>
      <c r="C24" s="148"/>
      <c r="D24" s="80" t="s">
        <v>25</v>
      </c>
      <c r="E24" s="151" t="s">
        <v>41</v>
      </c>
      <c r="F24" s="152"/>
      <c r="G24" s="81" t="s">
        <v>42</v>
      </c>
      <c r="H24" s="82" t="s">
        <v>43</v>
      </c>
      <c r="I24" s="28">
        <v>24000</v>
      </c>
      <c r="J24" s="29" t="str">
        <f t="shared" si="3"/>
        <v/>
      </c>
      <c r="K24" s="7" t="str">
        <f t="shared" si="4"/>
        <v>Não</v>
      </c>
      <c r="L24" s="30" t="str">
        <f t="shared" si="5"/>
        <v/>
      </c>
      <c r="M24" s="202"/>
      <c r="N24" s="186"/>
      <c r="P24" s="201"/>
      <c r="Q24" s="185"/>
      <c r="S24" s="201"/>
      <c r="T24" s="185"/>
    </row>
    <row r="25" spans="1:20" ht="4.5" customHeight="1" x14ac:dyDescent="0.35">
      <c r="A25" s="8"/>
      <c r="B25" s="8"/>
      <c r="C25" s="31"/>
      <c r="D25" s="67"/>
      <c r="E25" s="67"/>
      <c r="F25" s="67"/>
      <c r="G25" s="68"/>
      <c r="H25" s="68"/>
      <c r="I25" s="69"/>
      <c r="J25" s="70"/>
      <c r="K25" s="9"/>
      <c r="L25" s="9"/>
      <c r="M25" s="46"/>
      <c r="N25" s="10"/>
      <c r="P25" s="15"/>
      <c r="Q25" s="16"/>
      <c r="R25" s="17"/>
      <c r="S25" s="15"/>
      <c r="T25" s="16"/>
    </row>
    <row r="26" spans="1:20" ht="15" customHeight="1" x14ac:dyDescent="0.35">
      <c r="A26" s="153" t="s">
        <v>5</v>
      </c>
      <c r="B26" s="154"/>
      <c r="C26" s="154"/>
      <c r="D26" s="154"/>
      <c r="E26" s="155"/>
      <c r="F26" s="153" t="s">
        <v>6</v>
      </c>
      <c r="G26" s="154"/>
      <c r="H26" s="155"/>
      <c r="I26" s="153" t="s">
        <v>7</v>
      </c>
      <c r="J26" s="154"/>
      <c r="K26" s="154"/>
      <c r="L26" s="155"/>
      <c r="M26" s="153" t="s">
        <v>8</v>
      </c>
      <c r="N26" s="155"/>
      <c r="P26" s="153" t="s">
        <v>8</v>
      </c>
      <c r="Q26" s="155"/>
      <c r="S26" s="153" t="s">
        <v>8</v>
      </c>
      <c r="T26" s="155"/>
    </row>
    <row r="27" spans="1:20" s="1" customFormat="1" ht="15" customHeight="1" x14ac:dyDescent="0.35">
      <c r="A27" s="160">
        <v>27014</v>
      </c>
      <c r="B27" s="161"/>
      <c r="C27" s="161"/>
      <c r="D27" s="161"/>
      <c r="E27" s="162"/>
      <c r="F27" s="174" t="s">
        <v>45</v>
      </c>
      <c r="G27" s="175"/>
      <c r="H27" s="176"/>
      <c r="I27" s="207" t="s">
        <v>10</v>
      </c>
      <c r="J27" s="208"/>
      <c r="K27" s="208"/>
      <c r="L27" s="209"/>
      <c r="M27" s="193" t="s">
        <v>11</v>
      </c>
      <c r="N27" s="194"/>
      <c r="P27" s="193" t="s">
        <v>11</v>
      </c>
      <c r="Q27" s="194"/>
      <c r="S27" s="193" t="s">
        <v>11</v>
      </c>
      <c r="T27" s="194"/>
    </row>
    <row r="28" spans="1:20" ht="15" customHeight="1" x14ac:dyDescent="0.35">
      <c r="A28" s="163"/>
      <c r="B28" s="164"/>
      <c r="C28" s="164"/>
      <c r="D28" s="164"/>
      <c r="E28" s="165"/>
      <c r="F28" s="177"/>
      <c r="G28" s="178"/>
      <c r="H28" s="179"/>
      <c r="I28" s="193"/>
      <c r="J28" s="210"/>
      <c r="K28" s="210"/>
      <c r="L28" s="194"/>
      <c r="M28" s="195" t="s">
        <v>12</v>
      </c>
      <c r="N28" s="196"/>
      <c r="P28" s="195" t="s">
        <v>12</v>
      </c>
      <c r="Q28" s="196"/>
      <c r="S28" s="195" t="s">
        <v>12</v>
      </c>
      <c r="T28" s="196"/>
    </row>
    <row r="29" spans="1:20" ht="24" customHeight="1" x14ac:dyDescent="0.35">
      <c r="A29" s="45" t="s">
        <v>13</v>
      </c>
      <c r="B29" s="45" t="s">
        <v>14</v>
      </c>
      <c r="C29" s="45" t="s">
        <v>15</v>
      </c>
      <c r="D29" s="11" t="s">
        <v>16</v>
      </c>
      <c r="E29" s="191" t="s">
        <v>17</v>
      </c>
      <c r="F29" s="192"/>
      <c r="G29" s="12" t="s">
        <v>18</v>
      </c>
      <c r="H29" s="12" t="s">
        <v>19</v>
      </c>
      <c r="I29" s="13" t="s">
        <v>20</v>
      </c>
      <c r="J29" s="18" t="s">
        <v>21</v>
      </c>
      <c r="K29" s="78"/>
      <c r="L29" s="19" t="s">
        <v>22</v>
      </c>
      <c r="M29" s="20" t="s">
        <v>23</v>
      </c>
      <c r="N29" s="19" t="s">
        <v>24</v>
      </c>
      <c r="P29" s="5" t="s">
        <v>23</v>
      </c>
      <c r="Q29" s="4" t="s">
        <v>24</v>
      </c>
      <c r="S29" s="5" t="s">
        <v>23</v>
      </c>
      <c r="T29" s="4" t="s">
        <v>24</v>
      </c>
    </row>
    <row r="30" spans="1:20" x14ac:dyDescent="0.35">
      <c r="A30" s="158">
        <v>1</v>
      </c>
      <c r="B30" s="231">
        <v>3</v>
      </c>
      <c r="C30" s="146">
        <v>24</v>
      </c>
      <c r="D30" s="88" t="s">
        <v>25</v>
      </c>
      <c r="E30" s="169" t="s">
        <v>26</v>
      </c>
      <c r="F30" s="170"/>
      <c r="G30" s="89" t="s">
        <v>27</v>
      </c>
      <c r="H30" s="90" t="s">
        <v>28</v>
      </c>
      <c r="I30" s="32">
        <v>45776.91</v>
      </c>
      <c r="J30" s="33">
        <f t="shared" ref="J30:J35" si="6">IF(AND((STDEV(I$30:I$35)/AVERAGE(I$30:I$35))&lt;=0.25,ISNUMBER(I30)),I30,IF(AND(I30&lt;=(AVERAGE(I$30:I$35)+STDEV(I$30:I$35)),I30&gt;=(AVERAGE(I$30:I$35)-STDEV(I$30:I$35)),ISNUMBER(I30)),I30,""))</f>
        <v>45776.91</v>
      </c>
      <c r="K30" s="21" t="str">
        <f t="shared" ref="K30:K35" si="7">IF(AND(COUNT(I$30:I$35)=1,ISNUMBER(I30)),"Sim",IF(AND((STDEV(J$30:J$35)/AVERAGE(J$30:J$35))&lt;0.25,ISNUMBER(J30)),"Sim",IF(AND(J30&lt;=(AVERAGE(J$30:J$35)+STDEV(J$30:J$35)),J30&gt;=(AVERAGE(J$30:J$35)-STDEV(J$30:J$35)),ISNUMBER(J30)),"Sim","Não")))</f>
        <v>Sim</v>
      </c>
      <c r="L30" s="22">
        <f t="shared" ref="L30:L35" si="8">IF(K30="Sim",J30,"")</f>
        <v>45776.91</v>
      </c>
      <c r="M30" s="200">
        <f>IF(COUNT(I30:I35)=1,I30,IF((COUNT(L30:L35)&lt;3),MIN(L30:L35),AVERAGE(L30:L35)))</f>
        <v>37854.413333333338</v>
      </c>
      <c r="N30" s="184">
        <f>C30*M30</f>
        <v>908505.92000000016</v>
      </c>
      <c r="P30" s="200">
        <f>ROUND(IF(COUNT(L30:L35)=1,L30,(MIN(L30:L35))),2)</f>
        <v>32786.33</v>
      </c>
      <c r="Q30" s="184">
        <f>C30*P30</f>
        <v>786871.92</v>
      </c>
      <c r="S30" s="200">
        <f>MIN(I30:I35)</f>
        <v>32786.33</v>
      </c>
      <c r="T30" s="184">
        <f>ROUND((C30*S30),2)</f>
        <v>786871.92</v>
      </c>
    </row>
    <row r="31" spans="1:20" x14ac:dyDescent="0.35">
      <c r="A31" s="140"/>
      <c r="B31" s="232"/>
      <c r="C31" s="147"/>
      <c r="D31" s="71" t="s">
        <v>25</v>
      </c>
      <c r="E31" s="166" t="s">
        <v>29</v>
      </c>
      <c r="F31" s="167"/>
      <c r="G31" s="72" t="s">
        <v>30</v>
      </c>
      <c r="H31" s="73" t="s">
        <v>31</v>
      </c>
      <c r="I31" s="54">
        <v>92620.57</v>
      </c>
      <c r="J31" s="66" t="str">
        <f t="shared" si="6"/>
        <v/>
      </c>
      <c r="K31" s="65" t="str">
        <f t="shared" si="7"/>
        <v>Não</v>
      </c>
      <c r="L31" s="23" t="str">
        <f t="shared" si="8"/>
        <v/>
      </c>
      <c r="M31" s="201"/>
      <c r="N31" s="185"/>
      <c r="P31" s="201"/>
      <c r="Q31" s="185"/>
      <c r="S31" s="201"/>
      <c r="T31" s="185"/>
    </row>
    <row r="32" spans="1:20" x14ac:dyDescent="0.35">
      <c r="A32" s="140"/>
      <c r="B32" s="232"/>
      <c r="C32" s="147"/>
      <c r="D32" s="71" t="s">
        <v>32</v>
      </c>
      <c r="E32" s="149" t="s">
        <v>33</v>
      </c>
      <c r="F32" s="150"/>
      <c r="G32" s="72" t="s">
        <v>34</v>
      </c>
      <c r="H32" s="73" t="s">
        <v>35</v>
      </c>
      <c r="I32" s="95">
        <v>32786.33</v>
      </c>
      <c r="J32" s="66">
        <f t="shared" si="6"/>
        <v>32786.33</v>
      </c>
      <c r="K32" s="65" t="str">
        <f t="shared" si="7"/>
        <v>Sim</v>
      </c>
      <c r="L32" s="23">
        <f t="shared" si="8"/>
        <v>32786.33</v>
      </c>
      <c r="M32" s="201"/>
      <c r="N32" s="185"/>
      <c r="P32" s="201"/>
      <c r="Q32" s="185"/>
      <c r="S32" s="201"/>
      <c r="T32" s="185"/>
    </row>
    <row r="33" spans="1:20" x14ac:dyDescent="0.35">
      <c r="A33" s="140"/>
      <c r="B33" s="232"/>
      <c r="C33" s="147"/>
      <c r="D33" s="71" t="s">
        <v>32</v>
      </c>
      <c r="E33" s="149" t="s">
        <v>33</v>
      </c>
      <c r="F33" s="150"/>
      <c r="G33" s="72" t="s">
        <v>36</v>
      </c>
      <c r="H33" s="73" t="s">
        <v>37</v>
      </c>
      <c r="I33" s="34">
        <v>85365</v>
      </c>
      <c r="J33" s="66" t="str">
        <f t="shared" si="6"/>
        <v/>
      </c>
      <c r="K33" s="65" t="str">
        <f t="shared" si="7"/>
        <v>Não</v>
      </c>
      <c r="L33" s="23" t="str">
        <f t="shared" si="8"/>
        <v/>
      </c>
      <c r="M33" s="201"/>
      <c r="N33" s="185"/>
      <c r="P33" s="201"/>
      <c r="Q33" s="185"/>
      <c r="S33" s="201"/>
      <c r="T33" s="185"/>
    </row>
    <row r="34" spans="1:20" x14ac:dyDescent="0.35">
      <c r="A34" s="140"/>
      <c r="B34" s="144"/>
      <c r="C34" s="147"/>
      <c r="D34" s="71" t="s">
        <v>25</v>
      </c>
      <c r="E34" s="149" t="s">
        <v>38</v>
      </c>
      <c r="F34" s="150"/>
      <c r="G34" s="72" t="s">
        <v>39</v>
      </c>
      <c r="H34" s="73" t="s">
        <v>40</v>
      </c>
      <c r="I34" s="34">
        <v>57692.31</v>
      </c>
      <c r="J34" s="66">
        <f t="shared" si="6"/>
        <v>57692.31</v>
      </c>
      <c r="K34" s="65" t="str">
        <f t="shared" si="7"/>
        <v>Não</v>
      </c>
      <c r="L34" s="23" t="str">
        <f t="shared" si="8"/>
        <v/>
      </c>
      <c r="M34" s="201"/>
      <c r="N34" s="185"/>
      <c r="P34" s="201"/>
      <c r="Q34" s="185"/>
      <c r="S34" s="201"/>
      <c r="T34" s="185"/>
    </row>
    <row r="35" spans="1:20" ht="15" customHeight="1" x14ac:dyDescent="0.35">
      <c r="A35" s="159"/>
      <c r="B35" s="145"/>
      <c r="C35" s="148"/>
      <c r="D35" s="80" t="s">
        <v>25</v>
      </c>
      <c r="E35" s="151" t="s">
        <v>41</v>
      </c>
      <c r="F35" s="152"/>
      <c r="G35" s="81" t="s">
        <v>42</v>
      </c>
      <c r="H35" s="82" t="s">
        <v>43</v>
      </c>
      <c r="I35" s="28">
        <v>35000</v>
      </c>
      <c r="J35" s="29">
        <f t="shared" si="6"/>
        <v>35000</v>
      </c>
      <c r="K35" s="7" t="str">
        <f t="shared" si="7"/>
        <v>Sim</v>
      </c>
      <c r="L35" s="30">
        <f t="shared" si="8"/>
        <v>35000</v>
      </c>
      <c r="M35" s="202"/>
      <c r="N35" s="186"/>
      <c r="P35" s="202"/>
      <c r="Q35" s="186"/>
      <c r="S35" s="202"/>
      <c r="T35" s="186"/>
    </row>
    <row r="36" spans="1:20" ht="4.5" customHeight="1" x14ac:dyDescent="0.35">
      <c r="G36" s="3"/>
      <c r="H36" s="77"/>
    </row>
    <row r="37" spans="1:20" ht="12" customHeight="1" x14ac:dyDescent="0.35">
      <c r="A37" s="153" t="s">
        <v>5</v>
      </c>
      <c r="B37" s="154"/>
      <c r="C37" s="154"/>
      <c r="D37" s="154"/>
      <c r="E37" s="155"/>
      <c r="F37" s="153" t="s">
        <v>6</v>
      </c>
      <c r="G37" s="154"/>
      <c r="H37" s="155"/>
      <c r="I37" s="153" t="s">
        <v>7</v>
      </c>
      <c r="J37" s="154"/>
      <c r="K37" s="154"/>
      <c r="L37" s="155"/>
      <c r="M37" s="153" t="s">
        <v>8</v>
      </c>
      <c r="N37" s="155"/>
      <c r="P37" s="153" t="s">
        <v>8</v>
      </c>
      <c r="Q37" s="155"/>
      <c r="S37" s="153" t="s">
        <v>8</v>
      </c>
      <c r="T37" s="155"/>
    </row>
    <row r="38" spans="1:20" s="1" customFormat="1" ht="15" customHeight="1" x14ac:dyDescent="0.35">
      <c r="A38" s="160">
        <v>27014</v>
      </c>
      <c r="B38" s="161"/>
      <c r="C38" s="161"/>
      <c r="D38" s="161"/>
      <c r="E38" s="162"/>
      <c r="F38" s="174" t="s">
        <v>46</v>
      </c>
      <c r="G38" s="175"/>
      <c r="H38" s="176"/>
      <c r="I38" s="207" t="s">
        <v>10</v>
      </c>
      <c r="J38" s="208"/>
      <c r="K38" s="208"/>
      <c r="L38" s="209"/>
      <c r="M38" s="193" t="s">
        <v>11</v>
      </c>
      <c r="N38" s="194"/>
      <c r="P38" s="193" t="s">
        <v>11</v>
      </c>
      <c r="Q38" s="194"/>
      <c r="S38" s="193" t="s">
        <v>11</v>
      </c>
      <c r="T38" s="194"/>
    </row>
    <row r="39" spans="1:20" ht="15" customHeight="1" x14ac:dyDescent="0.35">
      <c r="A39" s="163"/>
      <c r="B39" s="164"/>
      <c r="C39" s="164"/>
      <c r="D39" s="164"/>
      <c r="E39" s="165"/>
      <c r="F39" s="177"/>
      <c r="G39" s="178"/>
      <c r="H39" s="179"/>
      <c r="I39" s="193"/>
      <c r="J39" s="210"/>
      <c r="K39" s="210"/>
      <c r="L39" s="194"/>
      <c r="M39" s="195" t="s">
        <v>12</v>
      </c>
      <c r="N39" s="196"/>
      <c r="P39" s="195" t="s">
        <v>12</v>
      </c>
      <c r="Q39" s="196"/>
      <c r="S39" s="195" t="s">
        <v>12</v>
      </c>
      <c r="T39" s="196"/>
    </row>
    <row r="40" spans="1:20" ht="24" customHeight="1" x14ac:dyDescent="0.35">
      <c r="A40" s="45" t="s">
        <v>13</v>
      </c>
      <c r="B40" s="45" t="s">
        <v>14</v>
      </c>
      <c r="C40" s="45" t="s">
        <v>15</v>
      </c>
      <c r="D40" s="11" t="s">
        <v>16</v>
      </c>
      <c r="E40" s="191" t="s">
        <v>17</v>
      </c>
      <c r="F40" s="192"/>
      <c r="G40" s="12" t="s">
        <v>18</v>
      </c>
      <c r="H40" s="12" t="s">
        <v>19</v>
      </c>
      <c r="I40" s="13" t="s">
        <v>20</v>
      </c>
      <c r="J40" s="18" t="s">
        <v>21</v>
      </c>
      <c r="K40" s="78"/>
      <c r="L40" s="19" t="s">
        <v>22</v>
      </c>
      <c r="M40" s="20" t="s">
        <v>23</v>
      </c>
      <c r="N40" s="19" t="s">
        <v>24</v>
      </c>
      <c r="P40" s="5" t="s">
        <v>23</v>
      </c>
      <c r="Q40" s="4" t="s">
        <v>24</v>
      </c>
      <c r="S40" s="5" t="s">
        <v>23</v>
      </c>
      <c r="T40" s="4" t="s">
        <v>24</v>
      </c>
    </row>
    <row r="41" spans="1:20" x14ac:dyDescent="0.35">
      <c r="A41" s="158">
        <v>1</v>
      </c>
      <c r="B41" s="143">
        <v>4</v>
      </c>
      <c r="C41" s="146">
        <v>24</v>
      </c>
      <c r="D41" s="88" t="s">
        <v>25</v>
      </c>
      <c r="E41" s="169" t="s">
        <v>26</v>
      </c>
      <c r="F41" s="170"/>
      <c r="G41" s="89" t="s">
        <v>27</v>
      </c>
      <c r="H41" s="90" t="s">
        <v>28</v>
      </c>
      <c r="I41" s="107">
        <v>20593.61</v>
      </c>
      <c r="J41" s="33">
        <f t="shared" ref="J41:J46" si="9">IF(AND((STDEV(I$41:I$46)/AVERAGE(I$41:I$46))&lt;=0.25,ISNUMBER(I41)),I41,IF(AND(I41&lt;=(AVERAGE(I$41:I$46)+STDEV(I$41:I$46)),I41&gt;=(AVERAGE(I$41:I$46)-STDEV(I$41:I$46)),ISNUMBER(I41)),I41,""))</f>
        <v>20593.61</v>
      </c>
      <c r="K41" s="21" t="str">
        <f t="shared" ref="K41:K46" si="10">IF(AND(COUNT(I$41:I$46)=1,ISNUMBER(I41)),"Sim",IF(AND((STDEV(J$41:J$46)/AVERAGE(J$41:J$46))&lt;0.25,ISNUMBER(J41)),"Sim",IF(AND(J41&lt;=(AVERAGE(J$41:J$46)+STDEV(J$41:J$46)),J41&gt;=(AVERAGE(J$41:J$46)-STDEV(J$41:J$46)),ISNUMBER(J41)),"Sim","Não")))</f>
        <v>Sim</v>
      </c>
      <c r="L41" s="22">
        <f t="shared" ref="L41:L46" si="11">IF(K41="Sim",J41,"")</f>
        <v>20593.61</v>
      </c>
      <c r="M41" s="200">
        <f>IF(COUNT(I41:I46)=1,I41,IF((COUNT(L41:L46)&lt;3),MIN(L41:L46),AVERAGE(L41:L46)))</f>
        <v>54902.597500000003</v>
      </c>
      <c r="N41" s="184">
        <f>C41*M41</f>
        <v>1317662.3400000001</v>
      </c>
      <c r="P41" s="219">
        <f>ROUND(IF(COUNT(L41:L46)=1,L41,(MIN(L41:L46))),2)</f>
        <v>20593.61</v>
      </c>
      <c r="Q41" s="220">
        <f>C41*P41</f>
        <v>494246.64</v>
      </c>
      <c r="S41" s="219">
        <f>MIN(I41:I46)</f>
        <v>20593.61</v>
      </c>
      <c r="T41" s="220">
        <f>ROUND((C41*S41),2)</f>
        <v>494246.64</v>
      </c>
    </row>
    <row r="42" spans="1:20" x14ac:dyDescent="0.35">
      <c r="A42" s="140"/>
      <c r="B42" s="144"/>
      <c r="C42" s="147"/>
      <c r="D42" s="71" t="s">
        <v>25</v>
      </c>
      <c r="E42" s="149" t="s">
        <v>38</v>
      </c>
      <c r="F42" s="150"/>
      <c r="G42" s="72" t="s">
        <v>39</v>
      </c>
      <c r="H42" s="73" t="s">
        <v>40</v>
      </c>
      <c r="I42" s="95">
        <v>59076.92</v>
      </c>
      <c r="J42" s="66">
        <f t="shared" si="9"/>
        <v>59076.92</v>
      </c>
      <c r="K42" s="65" t="str">
        <f t="shared" si="10"/>
        <v>Sim</v>
      </c>
      <c r="L42" s="23">
        <f t="shared" si="11"/>
        <v>59076.92</v>
      </c>
      <c r="M42" s="201"/>
      <c r="N42" s="185"/>
      <c r="P42" s="219"/>
      <c r="Q42" s="220"/>
      <c r="S42" s="219"/>
      <c r="T42" s="220"/>
    </row>
    <row r="43" spans="1:20" x14ac:dyDescent="0.35">
      <c r="A43" s="140"/>
      <c r="B43" s="144"/>
      <c r="C43" s="147"/>
      <c r="D43" s="71" t="s">
        <v>32</v>
      </c>
      <c r="E43" s="149" t="s">
        <v>33</v>
      </c>
      <c r="F43" s="150"/>
      <c r="G43" s="72" t="s">
        <v>36</v>
      </c>
      <c r="H43" s="73" t="s">
        <v>37</v>
      </c>
      <c r="I43" s="34">
        <v>394325</v>
      </c>
      <c r="J43" s="66" t="str">
        <f t="shared" si="9"/>
        <v/>
      </c>
      <c r="K43" s="65" t="str">
        <f t="shared" si="10"/>
        <v>Não</v>
      </c>
      <c r="L43" s="23" t="str">
        <f t="shared" si="11"/>
        <v/>
      </c>
      <c r="M43" s="201"/>
      <c r="N43" s="185"/>
      <c r="P43" s="219"/>
      <c r="Q43" s="220"/>
      <c r="S43" s="219"/>
      <c r="T43" s="220"/>
    </row>
    <row r="44" spans="1:20" x14ac:dyDescent="0.35">
      <c r="A44" s="140"/>
      <c r="B44" s="144"/>
      <c r="C44" s="147"/>
      <c r="D44" s="71" t="s">
        <v>32</v>
      </c>
      <c r="E44" s="149" t="s">
        <v>33</v>
      </c>
      <c r="F44" s="150"/>
      <c r="G44" s="72" t="s">
        <v>34</v>
      </c>
      <c r="H44" s="73" t="s">
        <v>35</v>
      </c>
      <c r="I44" s="34">
        <v>131145.34</v>
      </c>
      <c r="J44" s="66">
        <f t="shared" si="9"/>
        <v>131145.34</v>
      </c>
      <c r="K44" s="65" t="str">
        <f t="shared" si="10"/>
        <v>Não</v>
      </c>
      <c r="L44" s="23" t="str">
        <f t="shared" si="11"/>
        <v/>
      </c>
      <c r="M44" s="201"/>
      <c r="N44" s="185"/>
      <c r="P44" s="219"/>
      <c r="Q44" s="220"/>
      <c r="S44" s="219"/>
      <c r="T44" s="220"/>
    </row>
    <row r="45" spans="1:20" x14ac:dyDescent="0.35">
      <c r="A45" s="140"/>
      <c r="B45" s="144"/>
      <c r="C45" s="147"/>
      <c r="D45" s="71" t="s">
        <v>25</v>
      </c>
      <c r="E45" s="149" t="s">
        <v>41</v>
      </c>
      <c r="F45" s="150"/>
      <c r="G45" s="72" t="s">
        <v>42</v>
      </c>
      <c r="H45" s="73" t="s">
        <v>43</v>
      </c>
      <c r="I45" s="34">
        <v>24000</v>
      </c>
      <c r="J45" s="66">
        <f t="shared" si="9"/>
        <v>24000</v>
      </c>
      <c r="K45" s="65" t="str">
        <f t="shared" si="10"/>
        <v>Sim</v>
      </c>
      <c r="L45" s="23">
        <f t="shared" si="11"/>
        <v>24000</v>
      </c>
      <c r="M45" s="201"/>
      <c r="N45" s="185"/>
      <c r="P45" s="219"/>
      <c r="Q45" s="220"/>
      <c r="S45" s="219"/>
      <c r="T45" s="220"/>
    </row>
    <row r="46" spans="1:20" ht="15" customHeight="1" x14ac:dyDescent="0.35">
      <c r="A46" s="159"/>
      <c r="B46" s="145"/>
      <c r="C46" s="148"/>
      <c r="D46" s="80" t="s">
        <v>25</v>
      </c>
      <c r="E46" s="151" t="s">
        <v>29</v>
      </c>
      <c r="F46" s="152"/>
      <c r="G46" s="81" t="s">
        <v>30</v>
      </c>
      <c r="H46" s="82" t="s">
        <v>31</v>
      </c>
      <c r="I46" s="28">
        <v>115939.86</v>
      </c>
      <c r="J46" s="29">
        <f t="shared" si="9"/>
        <v>115939.86</v>
      </c>
      <c r="K46" s="7" t="str">
        <f t="shared" si="10"/>
        <v>Sim</v>
      </c>
      <c r="L46" s="30">
        <f t="shared" si="11"/>
        <v>115939.86</v>
      </c>
      <c r="M46" s="202"/>
      <c r="N46" s="186"/>
      <c r="P46" s="219"/>
      <c r="Q46" s="220"/>
      <c r="S46" s="219"/>
      <c r="T46" s="220"/>
    </row>
    <row r="47" spans="1:20" ht="4.5" customHeight="1" x14ac:dyDescent="0.35">
      <c r="A47" s="8"/>
      <c r="B47" s="8"/>
      <c r="C47" s="31"/>
      <c r="D47" s="67"/>
      <c r="E47" s="67"/>
      <c r="F47" s="67"/>
      <c r="G47" s="47"/>
      <c r="H47" s="48"/>
      <c r="I47" s="69"/>
      <c r="J47" s="70"/>
      <c r="K47" s="9"/>
      <c r="L47" s="9"/>
      <c r="M47" s="46"/>
      <c r="N47" s="10"/>
      <c r="P47" s="46"/>
      <c r="Q47" s="10"/>
      <c r="S47" s="46"/>
      <c r="T47" s="10"/>
    </row>
    <row r="48" spans="1:20" ht="12" customHeight="1" x14ac:dyDescent="0.35">
      <c r="A48" s="153" t="s">
        <v>5</v>
      </c>
      <c r="B48" s="154"/>
      <c r="C48" s="154"/>
      <c r="D48" s="154"/>
      <c r="E48" s="155"/>
      <c r="F48" s="153" t="s">
        <v>6</v>
      </c>
      <c r="G48" s="154"/>
      <c r="H48" s="155"/>
      <c r="I48" s="153" t="s">
        <v>7</v>
      </c>
      <c r="J48" s="154"/>
      <c r="K48" s="154"/>
      <c r="L48" s="155"/>
      <c r="M48" s="153" t="s">
        <v>8</v>
      </c>
      <c r="N48" s="155"/>
      <c r="P48" s="153" t="s">
        <v>8</v>
      </c>
      <c r="Q48" s="155"/>
      <c r="S48" s="153" t="s">
        <v>8</v>
      </c>
      <c r="T48" s="155"/>
    </row>
    <row r="49" spans="1:20" s="1" customFormat="1" ht="15" customHeight="1" x14ac:dyDescent="0.35">
      <c r="A49" s="160">
        <v>27014</v>
      </c>
      <c r="B49" s="161"/>
      <c r="C49" s="161"/>
      <c r="D49" s="161"/>
      <c r="E49" s="162"/>
      <c r="F49" s="174" t="s">
        <v>47</v>
      </c>
      <c r="G49" s="175"/>
      <c r="H49" s="176"/>
      <c r="I49" s="207" t="s">
        <v>10</v>
      </c>
      <c r="J49" s="208"/>
      <c r="K49" s="208"/>
      <c r="L49" s="209"/>
      <c r="M49" s="193" t="s">
        <v>11</v>
      </c>
      <c r="N49" s="194"/>
      <c r="P49" s="193" t="s">
        <v>11</v>
      </c>
      <c r="Q49" s="194"/>
      <c r="S49" s="193" t="s">
        <v>11</v>
      </c>
      <c r="T49" s="194"/>
    </row>
    <row r="50" spans="1:20" ht="15" customHeight="1" x14ac:dyDescent="0.35">
      <c r="A50" s="163"/>
      <c r="B50" s="164"/>
      <c r="C50" s="164"/>
      <c r="D50" s="164"/>
      <c r="E50" s="165"/>
      <c r="F50" s="177"/>
      <c r="G50" s="178"/>
      <c r="H50" s="179"/>
      <c r="I50" s="193"/>
      <c r="J50" s="210"/>
      <c r="K50" s="210"/>
      <c r="L50" s="194"/>
      <c r="M50" s="195" t="s">
        <v>12</v>
      </c>
      <c r="N50" s="196"/>
      <c r="P50" s="195" t="s">
        <v>12</v>
      </c>
      <c r="Q50" s="196"/>
      <c r="S50" s="195" t="s">
        <v>12</v>
      </c>
      <c r="T50" s="196"/>
    </row>
    <row r="51" spans="1:20" ht="24" customHeight="1" x14ac:dyDescent="0.35">
      <c r="A51" s="45" t="s">
        <v>13</v>
      </c>
      <c r="B51" s="45" t="s">
        <v>14</v>
      </c>
      <c r="C51" s="45" t="s">
        <v>15</v>
      </c>
      <c r="D51" s="11" t="s">
        <v>16</v>
      </c>
      <c r="E51" s="191" t="s">
        <v>17</v>
      </c>
      <c r="F51" s="192"/>
      <c r="G51" s="12" t="s">
        <v>18</v>
      </c>
      <c r="H51" s="12" t="s">
        <v>19</v>
      </c>
      <c r="I51" s="13" t="s">
        <v>20</v>
      </c>
      <c r="J51" s="18" t="s">
        <v>21</v>
      </c>
      <c r="K51" s="78"/>
      <c r="L51" s="19" t="s">
        <v>22</v>
      </c>
      <c r="M51" s="20" t="s">
        <v>23</v>
      </c>
      <c r="N51" s="19" t="s">
        <v>24</v>
      </c>
      <c r="P51" s="5" t="s">
        <v>23</v>
      </c>
      <c r="Q51" s="4" t="s">
        <v>24</v>
      </c>
      <c r="S51" s="5" t="s">
        <v>23</v>
      </c>
      <c r="T51" s="4" t="s">
        <v>24</v>
      </c>
    </row>
    <row r="52" spans="1:20" x14ac:dyDescent="0.35">
      <c r="A52" s="158">
        <v>1</v>
      </c>
      <c r="B52" s="182">
        <v>5</v>
      </c>
      <c r="C52" s="156">
        <v>24</v>
      </c>
      <c r="D52" s="88" t="s">
        <v>48</v>
      </c>
      <c r="E52" s="169" t="s">
        <v>49</v>
      </c>
      <c r="F52" s="222"/>
      <c r="G52" s="108" t="s">
        <v>50</v>
      </c>
      <c r="H52" s="109" t="s">
        <v>51</v>
      </c>
      <c r="I52" s="107">
        <v>47158.19</v>
      </c>
      <c r="J52" s="33">
        <f t="shared" ref="J52:J58" si="12">IF(AND((STDEV(I$52:I$58)/AVERAGE(I$52:I$58))&lt;=0.25,ISNUMBER(I52)),I52,IF(AND(I52&lt;=(AVERAGE(I$52:I$58)+STDEV(I$52:I$58)),I52&gt;=(AVERAGE(I$52:I$58)-STDEV(I$52:I$58)),ISNUMBER(I52)),I52,""))</f>
        <v>47158.19</v>
      </c>
      <c r="K52" s="21" t="str">
        <f t="shared" ref="K52:K58" si="13">IF(AND(COUNT(I$52:I$58)=1,ISNUMBER(I52)),"Sim",IF(AND((STDEV(J$52:J$58)/AVERAGE(J$52:J$58))&lt;0.25,ISNUMBER(J52)),"Sim",IF(AND(J52&lt;=(AVERAGE(J$52:J$58)+STDEV(J$52:J$58)),J52&gt;=(AVERAGE(J$52:J$58)-STDEV(J$52:J$58)),ISNUMBER(J52)),"Sim","Não")))</f>
        <v>Sim</v>
      </c>
      <c r="L52" s="22">
        <f t="shared" ref="L52:L58" si="14">IF(K52="Sim",J52,"")</f>
        <v>47158.19</v>
      </c>
      <c r="M52" s="203">
        <f>IF(COUNT(I52:I58)=1,I52,IF((COUNT(L52:L58)&lt;3),MIN(L52:L58),AVERAGE(L52:L58)))</f>
        <v>108871.45800000001</v>
      </c>
      <c r="N52" s="197">
        <f>C52*M52</f>
        <v>2612914.9920000006</v>
      </c>
      <c r="P52" s="200">
        <f>ROUND(IF(COUNT(L52:L58)=1,L52,(MIN(L52:L58))),2)</f>
        <v>47158.19</v>
      </c>
      <c r="Q52" s="184">
        <f>C52*P52</f>
        <v>1131796.56</v>
      </c>
      <c r="S52" s="200">
        <f>MIN(I52:I58)</f>
        <v>47158.19</v>
      </c>
      <c r="T52" s="184">
        <f>ROUND((C52*S52),2)</f>
        <v>1131796.56</v>
      </c>
    </row>
    <row r="53" spans="1:20" x14ac:dyDescent="0.35">
      <c r="A53" s="140"/>
      <c r="B53" s="144"/>
      <c r="C53" s="147"/>
      <c r="D53" s="79" t="s">
        <v>25</v>
      </c>
      <c r="E53" s="149" t="s">
        <v>26</v>
      </c>
      <c r="F53" s="230"/>
      <c r="G53" s="93" t="s">
        <v>27</v>
      </c>
      <c r="H53" s="94" t="s">
        <v>28</v>
      </c>
      <c r="I53" s="95">
        <v>710669.67</v>
      </c>
      <c r="J53" s="66" t="str">
        <f t="shared" si="12"/>
        <v/>
      </c>
      <c r="K53" s="65" t="str">
        <f t="shared" si="13"/>
        <v>Não</v>
      </c>
      <c r="L53" s="23" t="str">
        <f t="shared" si="14"/>
        <v/>
      </c>
      <c r="M53" s="201"/>
      <c r="N53" s="185"/>
      <c r="P53" s="201"/>
      <c r="Q53" s="185"/>
      <c r="S53" s="201"/>
      <c r="T53" s="185"/>
    </row>
    <row r="54" spans="1:20" x14ac:dyDescent="0.35">
      <c r="A54" s="140"/>
      <c r="B54" s="144"/>
      <c r="C54" s="147"/>
      <c r="D54" s="71" t="s">
        <v>25</v>
      </c>
      <c r="E54" s="166" t="s">
        <v>29</v>
      </c>
      <c r="F54" s="167"/>
      <c r="G54" s="72" t="s">
        <v>30</v>
      </c>
      <c r="H54" s="73" t="s">
        <v>31</v>
      </c>
      <c r="I54" s="24">
        <v>260015.69</v>
      </c>
      <c r="J54" s="66">
        <f t="shared" si="12"/>
        <v>260015.69</v>
      </c>
      <c r="K54" s="65" t="str">
        <f t="shared" si="13"/>
        <v>Não</v>
      </c>
      <c r="L54" s="23" t="str">
        <f t="shared" si="14"/>
        <v/>
      </c>
      <c r="M54" s="201"/>
      <c r="N54" s="185"/>
      <c r="P54" s="201"/>
      <c r="Q54" s="185"/>
      <c r="S54" s="201"/>
      <c r="T54" s="185"/>
    </row>
    <row r="55" spans="1:20" x14ac:dyDescent="0.35">
      <c r="A55" s="140"/>
      <c r="B55" s="144"/>
      <c r="C55" s="147"/>
      <c r="D55" s="71" t="s">
        <v>32</v>
      </c>
      <c r="E55" s="149" t="s">
        <v>33</v>
      </c>
      <c r="F55" s="150"/>
      <c r="G55" s="72" t="s">
        <v>34</v>
      </c>
      <c r="H55" s="73" t="s">
        <v>35</v>
      </c>
      <c r="I55" s="95">
        <v>78146.02</v>
      </c>
      <c r="J55" s="66">
        <f t="shared" si="12"/>
        <v>78146.02</v>
      </c>
      <c r="K55" s="65" t="str">
        <f t="shared" si="13"/>
        <v>Sim</v>
      </c>
      <c r="L55" s="23">
        <f t="shared" si="14"/>
        <v>78146.02</v>
      </c>
      <c r="M55" s="201"/>
      <c r="N55" s="185"/>
      <c r="P55" s="201"/>
      <c r="Q55" s="185"/>
      <c r="S55" s="201"/>
      <c r="T55" s="185"/>
    </row>
    <row r="56" spans="1:20" x14ac:dyDescent="0.35">
      <c r="A56" s="140"/>
      <c r="B56" s="144"/>
      <c r="C56" s="147"/>
      <c r="D56" s="71" t="s">
        <v>25</v>
      </c>
      <c r="E56" s="149" t="s">
        <v>38</v>
      </c>
      <c r="F56" s="150"/>
      <c r="G56" s="72" t="s">
        <v>39</v>
      </c>
      <c r="H56" s="73" t="s">
        <v>40</v>
      </c>
      <c r="I56" s="24">
        <v>163173.07999999999</v>
      </c>
      <c r="J56" s="66">
        <f t="shared" si="12"/>
        <v>163173.07999999999</v>
      </c>
      <c r="K56" s="65" t="str">
        <f t="shared" si="13"/>
        <v>Sim</v>
      </c>
      <c r="L56" s="23">
        <f t="shared" si="14"/>
        <v>163173.07999999999</v>
      </c>
      <c r="M56" s="201"/>
      <c r="N56" s="185"/>
      <c r="P56" s="201"/>
      <c r="Q56" s="185"/>
      <c r="S56" s="201"/>
      <c r="T56" s="185"/>
    </row>
    <row r="57" spans="1:20" x14ac:dyDescent="0.35">
      <c r="A57" s="140"/>
      <c r="B57" s="144"/>
      <c r="C57" s="147"/>
      <c r="D57" s="71" t="s">
        <v>32</v>
      </c>
      <c r="E57" s="149" t="s">
        <v>33</v>
      </c>
      <c r="F57" s="150"/>
      <c r="G57" s="72" t="s">
        <v>36</v>
      </c>
      <c r="H57" s="73" t="s">
        <v>37</v>
      </c>
      <c r="I57" s="24">
        <v>207880</v>
      </c>
      <c r="J57" s="25">
        <f t="shared" si="12"/>
        <v>207880</v>
      </c>
      <c r="K57" s="26" t="str">
        <f t="shared" si="13"/>
        <v>Sim</v>
      </c>
      <c r="L57" s="27">
        <f t="shared" si="14"/>
        <v>207880</v>
      </c>
      <c r="M57" s="201"/>
      <c r="N57" s="185"/>
      <c r="P57" s="201"/>
      <c r="Q57" s="185"/>
      <c r="S57" s="201"/>
      <c r="T57" s="185"/>
    </row>
    <row r="58" spans="1:20" ht="15" customHeight="1" x14ac:dyDescent="0.35">
      <c r="A58" s="159"/>
      <c r="B58" s="183"/>
      <c r="C58" s="157"/>
      <c r="D58" s="80" t="s">
        <v>25</v>
      </c>
      <c r="E58" s="151" t="s">
        <v>41</v>
      </c>
      <c r="F58" s="152"/>
      <c r="G58" s="81" t="s">
        <v>42</v>
      </c>
      <c r="H58" s="82" t="s">
        <v>43</v>
      </c>
      <c r="I58" s="28">
        <v>48000</v>
      </c>
      <c r="J58" s="29">
        <f t="shared" si="12"/>
        <v>48000</v>
      </c>
      <c r="K58" s="7" t="str">
        <f t="shared" si="13"/>
        <v>Sim</v>
      </c>
      <c r="L58" s="30">
        <f t="shared" si="14"/>
        <v>48000</v>
      </c>
      <c r="M58" s="221"/>
      <c r="N58" s="199"/>
      <c r="P58" s="202"/>
      <c r="Q58" s="186"/>
      <c r="S58" s="202"/>
      <c r="T58" s="186"/>
    </row>
    <row r="59" spans="1:20" ht="4.5" customHeight="1" x14ac:dyDescent="0.35">
      <c r="A59" s="8"/>
      <c r="B59" s="8"/>
      <c r="C59" s="31"/>
      <c r="D59" s="67"/>
      <c r="E59" s="67"/>
      <c r="F59" s="67"/>
      <c r="G59" s="68"/>
      <c r="H59" s="68"/>
      <c r="I59" s="69"/>
      <c r="J59" s="70"/>
      <c r="K59" s="9"/>
      <c r="L59" s="9"/>
      <c r="M59" s="46"/>
      <c r="N59" s="10"/>
    </row>
    <row r="60" spans="1:20" x14ac:dyDescent="0.35">
      <c r="A60" s="153" t="s">
        <v>5</v>
      </c>
      <c r="B60" s="154"/>
      <c r="C60" s="154"/>
      <c r="D60" s="154"/>
      <c r="E60" s="155"/>
      <c r="F60" s="153" t="s">
        <v>6</v>
      </c>
      <c r="G60" s="154"/>
      <c r="H60" s="155"/>
      <c r="I60" s="153" t="s">
        <v>7</v>
      </c>
      <c r="J60" s="154"/>
      <c r="K60" s="154"/>
      <c r="L60" s="155"/>
      <c r="M60" s="153" t="s">
        <v>8</v>
      </c>
      <c r="N60" s="155"/>
      <c r="P60" s="153" t="s">
        <v>8</v>
      </c>
      <c r="Q60" s="155"/>
      <c r="S60" s="153" t="s">
        <v>8</v>
      </c>
      <c r="T60" s="155"/>
    </row>
    <row r="61" spans="1:20" s="1" customFormat="1" ht="15" customHeight="1" x14ac:dyDescent="0.35">
      <c r="A61" s="160">
        <v>27014</v>
      </c>
      <c r="B61" s="161"/>
      <c r="C61" s="161"/>
      <c r="D61" s="161"/>
      <c r="E61" s="162"/>
      <c r="F61" s="174" t="s">
        <v>52</v>
      </c>
      <c r="G61" s="175"/>
      <c r="H61" s="176"/>
      <c r="I61" s="207" t="s">
        <v>53</v>
      </c>
      <c r="J61" s="208"/>
      <c r="K61" s="208"/>
      <c r="L61" s="209"/>
      <c r="M61" s="193" t="s">
        <v>11</v>
      </c>
      <c r="N61" s="194"/>
      <c r="P61" s="193" t="s">
        <v>11</v>
      </c>
      <c r="Q61" s="194"/>
      <c r="S61" s="193" t="s">
        <v>11</v>
      </c>
      <c r="T61" s="194"/>
    </row>
    <row r="62" spans="1:20" ht="15" customHeight="1" x14ac:dyDescent="0.35">
      <c r="A62" s="163"/>
      <c r="B62" s="164"/>
      <c r="C62" s="164"/>
      <c r="D62" s="164"/>
      <c r="E62" s="165"/>
      <c r="F62" s="177"/>
      <c r="G62" s="178"/>
      <c r="H62" s="179"/>
      <c r="I62" s="193"/>
      <c r="J62" s="210"/>
      <c r="K62" s="210"/>
      <c r="L62" s="194"/>
      <c r="M62" s="195" t="s">
        <v>12</v>
      </c>
      <c r="N62" s="196"/>
      <c r="P62" s="195" t="s">
        <v>12</v>
      </c>
      <c r="Q62" s="196"/>
      <c r="S62" s="195" t="s">
        <v>12</v>
      </c>
      <c r="T62" s="196"/>
    </row>
    <row r="63" spans="1:20" ht="24" customHeight="1" x14ac:dyDescent="0.35">
      <c r="A63" s="45" t="s">
        <v>13</v>
      </c>
      <c r="B63" s="45" t="s">
        <v>14</v>
      </c>
      <c r="C63" s="45" t="s">
        <v>15</v>
      </c>
      <c r="D63" s="11" t="s">
        <v>16</v>
      </c>
      <c r="E63" s="191" t="s">
        <v>17</v>
      </c>
      <c r="F63" s="192"/>
      <c r="G63" s="12" t="s">
        <v>18</v>
      </c>
      <c r="H63" s="12" t="s">
        <v>19</v>
      </c>
      <c r="I63" s="13" t="s">
        <v>20</v>
      </c>
      <c r="J63" s="18" t="s">
        <v>21</v>
      </c>
      <c r="K63" s="78"/>
      <c r="L63" s="19" t="s">
        <v>22</v>
      </c>
      <c r="M63" s="20" t="s">
        <v>23</v>
      </c>
      <c r="N63" s="19" t="s">
        <v>24</v>
      </c>
      <c r="P63" s="5" t="s">
        <v>23</v>
      </c>
      <c r="Q63" s="4" t="s">
        <v>24</v>
      </c>
      <c r="S63" s="5" t="s">
        <v>23</v>
      </c>
      <c r="T63" s="4" t="s">
        <v>24</v>
      </c>
    </row>
    <row r="64" spans="1:20" x14ac:dyDescent="0.35">
      <c r="A64" s="158">
        <v>1</v>
      </c>
      <c r="B64" s="182">
        <v>6</v>
      </c>
      <c r="C64" s="156">
        <v>10</v>
      </c>
      <c r="D64" s="88" t="s">
        <v>25</v>
      </c>
      <c r="E64" s="171" t="s">
        <v>26</v>
      </c>
      <c r="F64" s="172"/>
      <c r="G64" s="91" t="s">
        <v>27</v>
      </c>
      <c r="H64" s="92" t="s">
        <v>28</v>
      </c>
      <c r="I64" s="105">
        <v>22753.22</v>
      </c>
      <c r="J64" s="33">
        <f t="shared" ref="J64:J69" si="15">IF(AND((STDEV(I$64:I$69)/AVERAGE(I$64:I$69))&lt;=0.25,ISNUMBER(I64)),I64,IF(AND(I64&lt;=(AVERAGE(I$64:I$69)+STDEV(I$64:I$69)),I64&gt;=(AVERAGE(I$64:I$69)-STDEV(I$64:I$69)),ISNUMBER(I64)),I64,""))</f>
        <v>22753.22</v>
      </c>
      <c r="K64" s="21" t="str">
        <f t="shared" ref="K64:K69" si="16">IF(AND(COUNT(I$64:I$69)=1,ISNUMBER(I64)),"Sim",IF(AND((STDEV(J$64:J$69)/AVERAGE(J$64:J$69))&lt;0.25,ISNUMBER(J64)),"Sim",IF(AND(J64&lt;=(AVERAGE(J$64:J$69)+STDEV(J$64:J$69)),J64&gt;=(AVERAGE(J$64:J$69)-STDEV(J$64:J$69)),ISNUMBER(J64)),"Sim","Não")))</f>
        <v>Sim</v>
      </c>
      <c r="L64" s="22">
        <f t="shared" ref="L64:L69" si="17">IF(K64="Sim",J64,"")</f>
        <v>22753.22</v>
      </c>
      <c r="M64" s="216">
        <f>ROUND(IF(COUNT(I64:I69)=1,I64,IF((COUNT(L64:L69)&lt;3),MIN(L64:L69),AVERAGE(L64:L69))),2)</f>
        <v>14220.28</v>
      </c>
      <c r="N64" s="184">
        <f>C64*M64</f>
        <v>142202.80000000002</v>
      </c>
      <c r="P64" s="200">
        <f>ROUND(IF(COUNT(L64:L69)=1,L64,(MIN(L64:L69))),2)</f>
        <v>8000</v>
      </c>
      <c r="Q64" s="184">
        <f>C64*P64</f>
        <v>80000</v>
      </c>
      <c r="S64" s="200">
        <f>MIN(I64:I69)</f>
        <v>8000</v>
      </c>
      <c r="T64" s="184">
        <f>ROUND((C64*S64),2)</f>
        <v>80000</v>
      </c>
    </row>
    <row r="65" spans="1:20" x14ac:dyDescent="0.35">
      <c r="A65" s="140"/>
      <c r="B65" s="144"/>
      <c r="C65" s="147"/>
      <c r="D65" s="71" t="s">
        <v>25</v>
      </c>
      <c r="E65" s="149" t="s">
        <v>38</v>
      </c>
      <c r="F65" s="150"/>
      <c r="G65" s="72" t="s">
        <v>39</v>
      </c>
      <c r="H65" s="73" t="s">
        <v>40</v>
      </c>
      <c r="I65" s="106">
        <v>13221.15</v>
      </c>
      <c r="J65" s="66">
        <f t="shared" si="15"/>
        <v>13221.15</v>
      </c>
      <c r="K65" s="65" t="str">
        <f t="shared" si="16"/>
        <v>Sim</v>
      </c>
      <c r="L65" s="23">
        <f t="shared" si="17"/>
        <v>13221.15</v>
      </c>
      <c r="M65" s="217"/>
      <c r="N65" s="185"/>
      <c r="P65" s="201"/>
      <c r="Q65" s="185"/>
      <c r="S65" s="201"/>
      <c r="T65" s="185"/>
    </row>
    <row r="66" spans="1:20" x14ac:dyDescent="0.35">
      <c r="A66" s="140"/>
      <c r="B66" s="144"/>
      <c r="C66" s="147"/>
      <c r="D66" s="71" t="s">
        <v>32</v>
      </c>
      <c r="E66" s="149" t="s">
        <v>33</v>
      </c>
      <c r="F66" s="150"/>
      <c r="G66" s="72" t="s">
        <v>36</v>
      </c>
      <c r="H66" s="73" t="s">
        <v>37</v>
      </c>
      <c r="I66" s="39">
        <v>181870</v>
      </c>
      <c r="J66" s="66" t="str">
        <f t="shared" si="15"/>
        <v/>
      </c>
      <c r="K66" s="65" t="str">
        <f t="shared" si="16"/>
        <v>Não</v>
      </c>
      <c r="L66" s="23" t="str">
        <f t="shared" si="17"/>
        <v/>
      </c>
      <c r="M66" s="217"/>
      <c r="N66" s="185"/>
      <c r="P66" s="201"/>
      <c r="Q66" s="185"/>
      <c r="S66" s="201"/>
      <c r="T66" s="185"/>
    </row>
    <row r="67" spans="1:20" x14ac:dyDescent="0.35">
      <c r="A67" s="140"/>
      <c r="B67" s="144"/>
      <c r="C67" s="147"/>
      <c r="D67" s="71" t="s">
        <v>32</v>
      </c>
      <c r="E67" s="149" t="s">
        <v>33</v>
      </c>
      <c r="F67" s="150"/>
      <c r="G67" s="72" t="s">
        <v>34</v>
      </c>
      <c r="H67" s="73" t="s">
        <v>35</v>
      </c>
      <c r="I67" s="39">
        <v>12906.76</v>
      </c>
      <c r="J67" s="66">
        <f t="shared" si="15"/>
        <v>12906.76</v>
      </c>
      <c r="K67" s="65" t="str">
        <f t="shared" si="16"/>
        <v>Sim</v>
      </c>
      <c r="L67" s="23">
        <f t="shared" si="17"/>
        <v>12906.76</v>
      </c>
      <c r="M67" s="217"/>
      <c r="N67" s="185"/>
      <c r="P67" s="201"/>
      <c r="Q67" s="185"/>
      <c r="S67" s="201"/>
      <c r="T67" s="185"/>
    </row>
    <row r="68" spans="1:20" x14ac:dyDescent="0.35">
      <c r="A68" s="140"/>
      <c r="B68" s="144"/>
      <c r="C68" s="147"/>
      <c r="D68" s="79" t="s">
        <v>25</v>
      </c>
      <c r="E68" s="149" t="s">
        <v>41</v>
      </c>
      <c r="F68" s="150"/>
      <c r="G68" s="86" t="s">
        <v>42</v>
      </c>
      <c r="H68" s="87" t="s">
        <v>43</v>
      </c>
      <c r="I68" s="39">
        <v>8000</v>
      </c>
      <c r="J68" s="66">
        <f t="shared" si="15"/>
        <v>8000</v>
      </c>
      <c r="K68" s="65" t="str">
        <f t="shared" si="16"/>
        <v>Sim</v>
      </c>
      <c r="L68" s="23">
        <f t="shared" si="17"/>
        <v>8000</v>
      </c>
      <c r="M68" s="217"/>
      <c r="N68" s="185"/>
      <c r="P68" s="201"/>
      <c r="Q68" s="185"/>
      <c r="S68" s="201"/>
      <c r="T68" s="185"/>
    </row>
    <row r="69" spans="1:20" ht="15" customHeight="1" x14ac:dyDescent="0.35">
      <c r="A69" s="159"/>
      <c r="B69" s="183"/>
      <c r="C69" s="157"/>
      <c r="D69" s="80" t="s">
        <v>25</v>
      </c>
      <c r="E69" s="151" t="s">
        <v>29</v>
      </c>
      <c r="F69" s="152"/>
      <c r="G69" s="81" t="s">
        <v>30</v>
      </c>
      <c r="H69" s="82" t="s">
        <v>31</v>
      </c>
      <c r="I69" s="28">
        <v>120520.52</v>
      </c>
      <c r="J69" s="29">
        <f t="shared" si="15"/>
        <v>120520.52</v>
      </c>
      <c r="K69" s="7" t="str">
        <f t="shared" si="16"/>
        <v>Não</v>
      </c>
      <c r="L69" s="30" t="str">
        <f t="shared" si="17"/>
        <v/>
      </c>
      <c r="M69" s="218"/>
      <c r="N69" s="186"/>
      <c r="P69" s="202"/>
      <c r="Q69" s="186"/>
      <c r="S69" s="202"/>
      <c r="T69" s="186"/>
    </row>
    <row r="70" spans="1:20" ht="4.5" customHeight="1" x14ac:dyDescent="0.35">
      <c r="A70" s="8"/>
      <c r="B70" s="8"/>
      <c r="C70" s="31"/>
      <c r="D70" s="67"/>
      <c r="E70" s="67"/>
      <c r="F70" s="67"/>
      <c r="G70" s="68"/>
      <c r="H70" s="68"/>
      <c r="I70" s="69"/>
      <c r="J70" s="70"/>
      <c r="K70" s="9"/>
      <c r="L70" s="9"/>
      <c r="M70" s="46"/>
      <c r="N70" s="10"/>
    </row>
    <row r="71" spans="1:20" x14ac:dyDescent="0.35">
      <c r="A71" s="153" t="s">
        <v>5</v>
      </c>
      <c r="B71" s="154"/>
      <c r="C71" s="154"/>
      <c r="D71" s="154"/>
      <c r="E71" s="155"/>
      <c r="F71" s="153" t="s">
        <v>6</v>
      </c>
      <c r="G71" s="154"/>
      <c r="H71" s="155"/>
      <c r="I71" s="153" t="s">
        <v>7</v>
      </c>
      <c r="J71" s="154"/>
      <c r="K71" s="154"/>
      <c r="L71" s="155"/>
      <c r="M71" s="153" t="s">
        <v>8</v>
      </c>
      <c r="N71" s="155"/>
      <c r="P71" s="153" t="s">
        <v>8</v>
      </c>
      <c r="Q71" s="155"/>
      <c r="S71" s="153" t="s">
        <v>8</v>
      </c>
      <c r="T71" s="155"/>
    </row>
    <row r="72" spans="1:20" s="1" customFormat="1" ht="15" customHeight="1" x14ac:dyDescent="0.35">
      <c r="A72" s="160">
        <v>27014</v>
      </c>
      <c r="B72" s="161"/>
      <c r="C72" s="161"/>
      <c r="D72" s="161"/>
      <c r="E72" s="162"/>
      <c r="F72" s="174" t="s">
        <v>54</v>
      </c>
      <c r="G72" s="175"/>
      <c r="H72" s="176"/>
      <c r="I72" s="207" t="s">
        <v>10</v>
      </c>
      <c r="J72" s="208"/>
      <c r="K72" s="208"/>
      <c r="L72" s="209"/>
      <c r="M72" s="193" t="s">
        <v>11</v>
      </c>
      <c r="N72" s="194"/>
      <c r="P72" s="193" t="s">
        <v>11</v>
      </c>
      <c r="Q72" s="194"/>
      <c r="S72" s="193" t="s">
        <v>11</v>
      </c>
      <c r="T72" s="194"/>
    </row>
    <row r="73" spans="1:20" ht="15" customHeight="1" x14ac:dyDescent="0.35">
      <c r="A73" s="163"/>
      <c r="B73" s="164"/>
      <c r="C73" s="164"/>
      <c r="D73" s="164"/>
      <c r="E73" s="165"/>
      <c r="F73" s="177"/>
      <c r="G73" s="178"/>
      <c r="H73" s="179"/>
      <c r="I73" s="193"/>
      <c r="J73" s="210"/>
      <c r="K73" s="210"/>
      <c r="L73" s="194"/>
      <c r="M73" s="195" t="s">
        <v>12</v>
      </c>
      <c r="N73" s="196"/>
      <c r="P73" s="195" t="s">
        <v>12</v>
      </c>
      <c r="Q73" s="196"/>
      <c r="S73" s="195" t="s">
        <v>12</v>
      </c>
      <c r="T73" s="196"/>
    </row>
    <row r="74" spans="1:20" ht="24" customHeight="1" x14ac:dyDescent="0.35">
      <c r="A74" s="45" t="s">
        <v>13</v>
      </c>
      <c r="B74" s="45" t="s">
        <v>14</v>
      </c>
      <c r="C74" s="45" t="s">
        <v>15</v>
      </c>
      <c r="D74" s="11" t="s">
        <v>16</v>
      </c>
      <c r="E74" s="191" t="s">
        <v>17</v>
      </c>
      <c r="F74" s="192"/>
      <c r="G74" s="12" t="s">
        <v>18</v>
      </c>
      <c r="H74" s="12" t="s">
        <v>19</v>
      </c>
      <c r="I74" s="13" t="s">
        <v>20</v>
      </c>
      <c r="J74" s="18" t="s">
        <v>21</v>
      </c>
      <c r="K74" s="78"/>
      <c r="L74" s="19" t="s">
        <v>22</v>
      </c>
      <c r="M74" s="20" t="s">
        <v>23</v>
      </c>
      <c r="N74" s="19" t="s">
        <v>24</v>
      </c>
      <c r="P74" s="5" t="s">
        <v>23</v>
      </c>
      <c r="Q74" s="4" t="s">
        <v>24</v>
      </c>
      <c r="S74" s="5" t="s">
        <v>23</v>
      </c>
      <c r="T74" s="4" t="s">
        <v>24</v>
      </c>
    </row>
    <row r="75" spans="1:20" x14ac:dyDescent="0.35">
      <c r="A75" s="139">
        <v>1</v>
      </c>
      <c r="B75" s="182">
        <v>7</v>
      </c>
      <c r="C75" s="156">
        <v>24</v>
      </c>
      <c r="D75" s="88" t="s">
        <v>25</v>
      </c>
      <c r="E75" s="171" t="s">
        <v>26</v>
      </c>
      <c r="F75" s="172"/>
      <c r="G75" s="91" t="s">
        <v>27</v>
      </c>
      <c r="H75" s="92" t="s">
        <v>28</v>
      </c>
      <c r="I75" s="54">
        <v>35466.769999999997</v>
      </c>
      <c r="J75" s="33">
        <f t="shared" ref="J75:J80" si="18">IF(AND((STDEV(I$75:I$80)/AVERAGE(I$75:I$80))&lt;=0.25,ISNUMBER(I75)),I75,IF(AND(I75&lt;=(AVERAGE(I$75:I$80)+STDEV(I$75:I$80)),I75&gt;=(AVERAGE(I$75:I$80)-STDEV(I$75:I$80)),ISNUMBER(I75)),I75,""))</f>
        <v>35466.769999999997</v>
      </c>
      <c r="K75" s="21" t="str">
        <f t="shared" ref="K75:K80" si="19">IF(AND(COUNT(I$75:I$80)=1,ISNUMBER(I75)),"Sim",IF(AND((STDEV(J$75:J$80)/AVERAGE(J$75:J$80))&lt;0.25,ISNUMBER(J75)),"Sim",IF(AND(J75&lt;=(AVERAGE(J$75:J$80)+STDEV(J$75:J$80)),J75&gt;=(AVERAGE(J$75:J$80)-STDEV(J$75:J$80)),ISNUMBER(J75)),"Sim","Não")))</f>
        <v>Não</v>
      </c>
      <c r="L75" s="22" t="str">
        <f t="shared" ref="L75:L80" si="20">IF(K75="Sim",J75,"")</f>
        <v/>
      </c>
      <c r="M75" s="203">
        <f>IF(COUNT(I75:I80)=1,I75,IF((COUNT(L75:L80)&lt;3),MIN(L75:L80),AVERAGE(L75:L80)))</f>
        <v>28050.513333333336</v>
      </c>
      <c r="N75" s="197">
        <f>C75*M75</f>
        <v>673212.32000000007</v>
      </c>
      <c r="P75" s="200">
        <f>ROUND(IF(COUNT(L75:L80)=1,L75,(MIN(L75:L80))),2)</f>
        <v>21402</v>
      </c>
      <c r="Q75" s="184">
        <f>C75*P75</f>
        <v>513648</v>
      </c>
      <c r="S75" s="200">
        <f>MIN(I75:I80)</f>
        <v>18686.95</v>
      </c>
      <c r="T75" s="184">
        <f>ROUND((C75*S75),2)</f>
        <v>448486.8</v>
      </c>
    </row>
    <row r="76" spans="1:20" x14ac:dyDescent="0.35">
      <c r="A76" s="140"/>
      <c r="B76" s="144"/>
      <c r="C76" s="147"/>
      <c r="D76" s="71" t="s">
        <v>25</v>
      </c>
      <c r="E76" s="149" t="s">
        <v>38</v>
      </c>
      <c r="F76" s="150"/>
      <c r="G76" s="72" t="s">
        <v>39</v>
      </c>
      <c r="H76" s="73" t="s">
        <v>40</v>
      </c>
      <c r="I76" s="95">
        <v>76923.08</v>
      </c>
      <c r="J76" s="66" t="str">
        <f t="shared" si="18"/>
        <v/>
      </c>
      <c r="K76" s="65" t="str">
        <f t="shared" si="19"/>
        <v>Não</v>
      </c>
      <c r="L76" s="23" t="str">
        <f t="shared" si="20"/>
        <v/>
      </c>
      <c r="M76" s="201"/>
      <c r="N76" s="185"/>
      <c r="P76" s="201"/>
      <c r="Q76" s="185"/>
      <c r="S76" s="201"/>
      <c r="T76" s="185"/>
    </row>
    <row r="77" spans="1:20" x14ac:dyDescent="0.35">
      <c r="A77" s="140"/>
      <c r="B77" s="144"/>
      <c r="C77" s="147"/>
      <c r="D77" s="71" t="s">
        <v>32</v>
      </c>
      <c r="E77" s="149" t="s">
        <v>33</v>
      </c>
      <c r="F77" s="150"/>
      <c r="G77" s="72" t="s">
        <v>36</v>
      </c>
      <c r="H77" s="73" t="s">
        <v>37</v>
      </c>
      <c r="I77" s="95">
        <v>21402</v>
      </c>
      <c r="J77" s="66">
        <f t="shared" si="18"/>
        <v>21402</v>
      </c>
      <c r="K77" s="65" t="str">
        <f t="shared" si="19"/>
        <v>Sim</v>
      </c>
      <c r="L77" s="23">
        <f t="shared" si="20"/>
        <v>21402</v>
      </c>
      <c r="M77" s="201"/>
      <c r="N77" s="185"/>
      <c r="P77" s="201"/>
      <c r="Q77" s="185"/>
      <c r="S77" s="201"/>
      <c r="T77" s="185"/>
    </row>
    <row r="78" spans="1:20" x14ac:dyDescent="0.35">
      <c r="A78" s="140"/>
      <c r="B78" s="144"/>
      <c r="C78" s="147"/>
      <c r="D78" s="71" t="s">
        <v>32</v>
      </c>
      <c r="E78" s="149" t="s">
        <v>33</v>
      </c>
      <c r="F78" s="150"/>
      <c r="G78" s="72" t="s">
        <v>34</v>
      </c>
      <c r="H78" s="73" t="s">
        <v>35</v>
      </c>
      <c r="I78" s="95">
        <v>30749.54</v>
      </c>
      <c r="J78" s="66">
        <f t="shared" si="18"/>
        <v>30749.54</v>
      </c>
      <c r="K78" s="65" t="str">
        <f t="shared" si="19"/>
        <v>Sim</v>
      </c>
      <c r="L78" s="23">
        <f t="shared" si="20"/>
        <v>30749.54</v>
      </c>
      <c r="M78" s="201"/>
      <c r="N78" s="185"/>
      <c r="P78" s="201"/>
      <c r="Q78" s="185"/>
      <c r="S78" s="201"/>
      <c r="T78" s="185"/>
    </row>
    <row r="79" spans="1:20" x14ac:dyDescent="0.35">
      <c r="A79" s="141"/>
      <c r="B79" s="224"/>
      <c r="C79" s="233"/>
      <c r="D79" s="79" t="s">
        <v>25</v>
      </c>
      <c r="E79" s="149" t="s">
        <v>41</v>
      </c>
      <c r="F79" s="150"/>
      <c r="G79" s="86" t="s">
        <v>42</v>
      </c>
      <c r="H79" s="87" t="s">
        <v>43</v>
      </c>
      <c r="I79" s="54">
        <v>32000</v>
      </c>
      <c r="J79" s="100">
        <f t="shared" si="18"/>
        <v>32000</v>
      </c>
      <c r="K79" s="101" t="str">
        <f t="shared" si="19"/>
        <v>Sim</v>
      </c>
      <c r="L79" s="96">
        <f t="shared" si="20"/>
        <v>32000</v>
      </c>
      <c r="M79" s="223"/>
      <c r="N79" s="198"/>
      <c r="O79" s="35"/>
      <c r="P79" s="201"/>
      <c r="Q79" s="185"/>
      <c r="S79" s="201"/>
      <c r="T79" s="185"/>
    </row>
    <row r="80" spans="1:20" x14ac:dyDescent="0.35">
      <c r="A80" s="142"/>
      <c r="B80" s="183"/>
      <c r="C80" s="157"/>
      <c r="D80" s="80" t="s">
        <v>25</v>
      </c>
      <c r="E80" s="151" t="s">
        <v>29</v>
      </c>
      <c r="F80" s="152"/>
      <c r="G80" s="81" t="s">
        <v>30</v>
      </c>
      <c r="H80" s="82" t="s">
        <v>31</v>
      </c>
      <c r="I80" s="28">
        <v>18686.95</v>
      </c>
      <c r="J80" s="29">
        <f t="shared" si="18"/>
        <v>18686.95</v>
      </c>
      <c r="K80" s="7" t="str">
        <f t="shared" si="19"/>
        <v>Não</v>
      </c>
      <c r="L80" s="30" t="str">
        <f t="shared" si="20"/>
        <v/>
      </c>
      <c r="M80" s="221"/>
      <c r="N80" s="199"/>
      <c r="P80" s="202"/>
      <c r="Q80" s="186"/>
      <c r="S80" s="202"/>
      <c r="T80" s="186"/>
    </row>
    <row r="81" spans="1:20" ht="4.5" customHeight="1" x14ac:dyDescent="0.35">
      <c r="A81" s="8"/>
      <c r="B81" s="8"/>
      <c r="C81" s="31"/>
      <c r="D81" s="67"/>
      <c r="E81" s="67"/>
      <c r="F81" s="67"/>
      <c r="G81" s="47"/>
      <c r="H81" s="48"/>
      <c r="I81" s="69"/>
      <c r="J81" s="70"/>
      <c r="K81" s="9"/>
      <c r="L81" s="9"/>
      <c r="M81" s="46"/>
      <c r="N81" s="10"/>
      <c r="P81" s="46"/>
      <c r="Q81" s="10"/>
      <c r="S81" s="46"/>
      <c r="T81" s="10"/>
    </row>
    <row r="82" spans="1:20" x14ac:dyDescent="0.35">
      <c r="A82" s="153" t="s">
        <v>5</v>
      </c>
      <c r="B82" s="154"/>
      <c r="C82" s="154"/>
      <c r="D82" s="154"/>
      <c r="E82" s="155"/>
      <c r="F82" s="153" t="s">
        <v>6</v>
      </c>
      <c r="G82" s="154"/>
      <c r="H82" s="155"/>
      <c r="I82" s="153" t="s">
        <v>7</v>
      </c>
      <c r="J82" s="154"/>
      <c r="K82" s="154"/>
      <c r="L82" s="155"/>
      <c r="M82" s="153" t="s">
        <v>8</v>
      </c>
      <c r="N82" s="155"/>
      <c r="P82" s="153" t="s">
        <v>8</v>
      </c>
      <c r="Q82" s="155"/>
      <c r="S82" s="153" t="s">
        <v>8</v>
      </c>
      <c r="T82" s="155"/>
    </row>
    <row r="83" spans="1:20" s="1" customFormat="1" ht="15" customHeight="1" x14ac:dyDescent="0.35">
      <c r="A83" s="160">
        <v>27014</v>
      </c>
      <c r="B83" s="161"/>
      <c r="C83" s="161"/>
      <c r="D83" s="161"/>
      <c r="E83" s="162"/>
      <c r="F83" s="174" t="s">
        <v>55</v>
      </c>
      <c r="G83" s="175"/>
      <c r="H83" s="176"/>
      <c r="I83" s="207" t="s">
        <v>10</v>
      </c>
      <c r="J83" s="208"/>
      <c r="K83" s="208"/>
      <c r="L83" s="209"/>
      <c r="M83" s="193" t="s">
        <v>11</v>
      </c>
      <c r="N83" s="194"/>
      <c r="P83" s="193" t="s">
        <v>11</v>
      </c>
      <c r="Q83" s="194"/>
      <c r="S83" s="193" t="s">
        <v>11</v>
      </c>
      <c r="T83" s="194"/>
    </row>
    <row r="84" spans="1:20" ht="15" customHeight="1" x14ac:dyDescent="0.35">
      <c r="A84" s="163"/>
      <c r="B84" s="164"/>
      <c r="C84" s="164"/>
      <c r="D84" s="164"/>
      <c r="E84" s="165"/>
      <c r="F84" s="177"/>
      <c r="G84" s="178"/>
      <c r="H84" s="179"/>
      <c r="I84" s="193"/>
      <c r="J84" s="210"/>
      <c r="K84" s="210"/>
      <c r="L84" s="194"/>
      <c r="M84" s="195" t="s">
        <v>12</v>
      </c>
      <c r="N84" s="196"/>
      <c r="P84" s="195" t="s">
        <v>12</v>
      </c>
      <c r="Q84" s="196"/>
      <c r="S84" s="195" t="s">
        <v>12</v>
      </c>
      <c r="T84" s="196"/>
    </row>
    <row r="85" spans="1:20" ht="24" customHeight="1" x14ac:dyDescent="0.35">
      <c r="A85" s="45" t="s">
        <v>13</v>
      </c>
      <c r="B85" s="45" t="s">
        <v>14</v>
      </c>
      <c r="C85" s="45" t="s">
        <v>15</v>
      </c>
      <c r="D85" s="11" t="s">
        <v>16</v>
      </c>
      <c r="E85" s="191" t="s">
        <v>17</v>
      </c>
      <c r="F85" s="192"/>
      <c r="G85" s="12" t="s">
        <v>18</v>
      </c>
      <c r="H85" s="12" t="s">
        <v>19</v>
      </c>
      <c r="I85" s="13" t="s">
        <v>20</v>
      </c>
      <c r="J85" s="18" t="s">
        <v>21</v>
      </c>
      <c r="K85" s="78"/>
      <c r="L85" s="19" t="s">
        <v>22</v>
      </c>
      <c r="M85" s="20" t="s">
        <v>23</v>
      </c>
      <c r="N85" s="19" t="s">
        <v>24</v>
      </c>
      <c r="P85" s="5" t="s">
        <v>23</v>
      </c>
      <c r="Q85" s="4" t="s">
        <v>24</v>
      </c>
      <c r="S85" s="5" t="s">
        <v>23</v>
      </c>
      <c r="T85" s="4" t="s">
        <v>24</v>
      </c>
    </row>
    <row r="86" spans="1:20" x14ac:dyDescent="0.35">
      <c r="A86" s="139">
        <v>1</v>
      </c>
      <c r="B86" s="143">
        <v>8</v>
      </c>
      <c r="C86" s="146">
        <v>24</v>
      </c>
      <c r="D86" s="88" t="s">
        <v>25</v>
      </c>
      <c r="E86" s="171" t="s">
        <v>26</v>
      </c>
      <c r="F86" s="172"/>
      <c r="G86" s="91" t="s">
        <v>27</v>
      </c>
      <c r="H86" s="92" t="s">
        <v>28</v>
      </c>
      <c r="I86" s="54">
        <v>347708.25</v>
      </c>
      <c r="J86" s="36" t="str">
        <f t="shared" ref="J86:J91" si="21">IF(AND((STDEV(I$86:I$91)/AVERAGE(I$86:I$91))&lt;=0.25,ISNUMBER(I86)),I86,IF(AND(I86&lt;=(AVERAGE(I$86:I$91)+STDEV(I$86:I$91)),I86&gt;=(AVERAGE(I$86:I$91)-STDEV(I$86:I$91)),ISNUMBER(I86)),I86,""))</f>
        <v/>
      </c>
      <c r="K86" s="37" t="str">
        <f t="shared" ref="K86:K91" si="22">IF(AND(COUNT(I$86:I$91)=1,ISNUMBER(I86)),"Sim",IF(AND((STDEV(J$86:J$91)/AVERAGE(J$86:J$91))&lt;0.25,ISNUMBER(J86)),"Sim",IF(AND(J86&lt;=(AVERAGE(J$86:J$91)+STDEV(J$86:J$91)),J86&gt;=(AVERAGE(J$86:J$91)-STDEV(J$86:J$91)),ISNUMBER(J86)),"Sim","Não")))</f>
        <v>Não</v>
      </c>
      <c r="L86" s="38" t="str">
        <f t="shared" ref="L86:L91" si="23">IF(K86="Sim",J86,"")</f>
        <v/>
      </c>
      <c r="M86" s="219">
        <f>IF(COUNT(I86:I91)=1,I86,IF((COUNT(L86:L91)&lt;3),MIN(L86:L91),AVERAGE(L86:L91)))</f>
        <v>28122.744999999999</v>
      </c>
      <c r="N86" s="220">
        <f>C86*M86</f>
        <v>674945.88</v>
      </c>
      <c r="P86" s="200">
        <f>ROUND(IF(COUNT(L86:L91)=1,L86,(MIN(L86:L91))),2)</f>
        <v>6000</v>
      </c>
      <c r="Q86" s="184">
        <f>C86*P86</f>
        <v>144000</v>
      </c>
      <c r="S86" s="200">
        <f>MIN(I86:I91)</f>
        <v>6000</v>
      </c>
      <c r="T86" s="184">
        <f>ROUND((C86*S86),2)</f>
        <v>144000</v>
      </c>
    </row>
    <row r="87" spans="1:20" x14ac:dyDescent="0.35">
      <c r="A87" s="140"/>
      <c r="B87" s="144"/>
      <c r="C87" s="147"/>
      <c r="D87" s="71" t="s">
        <v>25</v>
      </c>
      <c r="E87" s="149" t="s">
        <v>38</v>
      </c>
      <c r="F87" s="150"/>
      <c r="G87" s="72" t="s">
        <v>39</v>
      </c>
      <c r="H87" s="73" t="s">
        <v>40</v>
      </c>
      <c r="I87" s="95">
        <v>151564.1</v>
      </c>
      <c r="J87" s="40">
        <f t="shared" si="21"/>
        <v>151564.1</v>
      </c>
      <c r="K87" s="41" t="str">
        <f t="shared" si="22"/>
        <v>Não</v>
      </c>
      <c r="L87" s="42" t="str">
        <f t="shared" si="23"/>
        <v/>
      </c>
      <c r="M87" s="219"/>
      <c r="N87" s="220"/>
      <c r="P87" s="201"/>
      <c r="Q87" s="185"/>
      <c r="S87" s="201"/>
      <c r="T87" s="185"/>
    </row>
    <row r="88" spans="1:20" x14ac:dyDescent="0.35">
      <c r="A88" s="140"/>
      <c r="B88" s="144"/>
      <c r="C88" s="147"/>
      <c r="D88" s="71" t="s">
        <v>32</v>
      </c>
      <c r="E88" s="149" t="s">
        <v>33</v>
      </c>
      <c r="F88" s="150"/>
      <c r="G88" s="72" t="s">
        <v>36</v>
      </c>
      <c r="H88" s="73" t="s">
        <v>37</v>
      </c>
      <c r="I88" s="95">
        <v>12045</v>
      </c>
      <c r="J88" s="40">
        <f t="shared" si="21"/>
        <v>12045</v>
      </c>
      <c r="K88" s="41" t="str">
        <f t="shared" si="22"/>
        <v>Sim</v>
      </c>
      <c r="L88" s="42">
        <f t="shared" si="23"/>
        <v>12045</v>
      </c>
      <c r="M88" s="219"/>
      <c r="N88" s="220"/>
      <c r="P88" s="201"/>
      <c r="Q88" s="185"/>
      <c r="S88" s="201"/>
      <c r="T88" s="185"/>
    </row>
    <row r="89" spans="1:20" x14ac:dyDescent="0.35">
      <c r="A89" s="140"/>
      <c r="B89" s="144"/>
      <c r="C89" s="147"/>
      <c r="D89" s="71" t="s">
        <v>32</v>
      </c>
      <c r="E89" s="149" t="s">
        <v>33</v>
      </c>
      <c r="F89" s="150"/>
      <c r="G89" s="72" t="s">
        <v>34</v>
      </c>
      <c r="H89" s="73" t="s">
        <v>35</v>
      </c>
      <c r="I89" s="95">
        <v>15300.48</v>
      </c>
      <c r="J89" s="40">
        <f t="shared" si="21"/>
        <v>15300.48</v>
      </c>
      <c r="K89" s="41" t="str">
        <f t="shared" si="22"/>
        <v>Sim</v>
      </c>
      <c r="L89" s="42">
        <f t="shared" si="23"/>
        <v>15300.48</v>
      </c>
      <c r="M89" s="219"/>
      <c r="N89" s="220"/>
      <c r="P89" s="201"/>
      <c r="Q89" s="185"/>
      <c r="S89" s="201"/>
      <c r="T89" s="185"/>
    </row>
    <row r="90" spans="1:20" x14ac:dyDescent="0.35">
      <c r="A90" s="141"/>
      <c r="B90" s="144"/>
      <c r="C90" s="147"/>
      <c r="D90" s="79" t="s">
        <v>25</v>
      </c>
      <c r="E90" s="149" t="s">
        <v>41</v>
      </c>
      <c r="F90" s="150"/>
      <c r="G90" s="86" t="s">
        <v>42</v>
      </c>
      <c r="H90" s="87" t="s">
        <v>43</v>
      </c>
      <c r="I90" s="54">
        <v>6000</v>
      </c>
      <c r="J90" s="97">
        <f t="shared" si="21"/>
        <v>6000</v>
      </c>
      <c r="K90" s="98" t="str">
        <f t="shared" si="22"/>
        <v>Sim</v>
      </c>
      <c r="L90" s="99">
        <f t="shared" si="23"/>
        <v>6000</v>
      </c>
      <c r="M90" s="219"/>
      <c r="N90" s="220"/>
      <c r="P90" s="201"/>
      <c r="Q90" s="185"/>
      <c r="S90" s="201"/>
      <c r="T90" s="185"/>
    </row>
    <row r="91" spans="1:20" ht="15" customHeight="1" x14ac:dyDescent="0.35">
      <c r="A91" s="142"/>
      <c r="B91" s="145"/>
      <c r="C91" s="148"/>
      <c r="D91" s="80" t="s">
        <v>25</v>
      </c>
      <c r="E91" s="151" t="s">
        <v>29</v>
      </c>
      <c r="F91" s="152"/>
      <c r="G91" s="81" t="s">
        <v>30</v>
      </c>
      <c r="H91" s="82" t="s">
        <v>31</v>
      </c>
      <c r="I91" s="28">
        <v>79145.5</v>
      </c>
      <c r="J91" s="50">
        <f t="shared" si="21"/>
        <v>79145.5</v>
      </c>
      <c r="K91" s="51" t="str">
        <f t="shared" si="22"/>
        <v>Sim</v>
      </c>
      <c r="L91" s="52">
        <f t="shared" si="23"/>
        <v>79145.5</v>
      </c>
      <c r="M91" s="219"/>
      <c r="N91" s="220"/>
      <c r="P91" s="202"/>
      <c r="Q91" s="186"/>
      <c r="S91" s="202"/>
      <c r="T91" s="186"/>
    </row>
    <row r="92" spans="1:20" ht="4.5" customHeight="1" x14ac:dyDescent="0.35">
      <c r="A92" s="8"/>
      <c r="B92" s="8"/>
      <c r="C92" s="31"/>
      <c r="D92" s="67"/>
      <c r="E92" s="67"/>
      <c r="F92" s="67"/>
      <c r="G92" s="68"/>
      <c r="H92" s="68"/>
      <c r="I92" s="69"/>
      <c r="J92" s="70"/>
      <c r="K92" s="9"/>
      <c r="L92" s="9"/>
      <c r="M92" s="46"/>
      <c r="N92" s="10"/>
    </row>
    <row r="93" spans="1:20" x14ac:dyDescent="0.35">
      <c r="A93" s="153" t="s">
        <v>5</v>
      </c>
      <c r="B93" s="154"/>
      <c r="C93" s="154"/>
      <c r="D93" s="154"/>
      <c r="E93" s="155"/>
      <c r="F93" s="153" t="s">
        <v>6</v>
      </c>
      <c r="G93" s="154"/>
      <c r="H93" s="155"/>
      <c r="I93" s="153" t="s">
        <v>7</v>
      </c>
      <c r="J93" s="154"/>
      <c r="K93" s="154"/>
      <c r="L93" s="155"/>
      <c r="M93" s="153" t="s">
        <v>8</v>
      </c>
      <c r="N93" s="155"/>
      <c r="P93" s="153" t="s">
        <v>8</v>
      </c>
      <c r="Q93" s="155"/>
      <c r="S93" s="153" t="s">
        <v>8</v>
      </c>
      <c r="T93" s="155"/>
    </row>
    <row r="94" spans="1:20" s="1" customFormat="1" ht="15" customHeight="1" x14ac:dyDescent="0.35">
      <c r="A94" s="160">
        <v>27014</v>
      </c>
      <c r="B94" s="161"/>
      <c r="C94" s="161"/>
      <c r="D94" s="161"/>
      <c r="E94" s="162"/>
      <c r="F94" s="174" t="s">
        <v>56</v>
      </c>
      <c r="G94" s="175"/>
      <c r="H94" s="176"/>
      <c r="I94" s="207" t="s">
        <v>10</v>
      </c>
      <c r="J94" s="208"/>
      <c r="K94" s="208"/>
      <c r="L94" s="209"/>
      <c r="M94" s="193" t="s">
        <v>11</v>
      </c>
      <c r="N94" s="194"/>
      <c r="P94" s="193" t="s">
        <v>11</v>
      </c>
      <c r="Q94" s="194"/>
      <c r="S94" s="193" t="s">
        <v>11</v>
      </c>
      <c r="T94" s="194"/>
    </row>
    <row r="95" spans="1:20" ht="15" customHeight="1" x14ac:dyDescent="0.35">
      <c r="A95" s="163"/>
      <c r="B95" s="164"/>
      <c r="C95" s="164"/>
      <c r="D95" s="164"/>
      <c r="E95" s="165"/>
      <c r="F95" s="177"/>
      <c r="G95" s="178"/>
      <c r="H95" s="179"/>
      <c r="I95" s="193"/>
      <c r="J95" s="210"/>
      <c r="K95" s="210"/>
      <c r="L95" s="194"/>
      <c r="M95" s="195" t="s">
        <v>12</v>
      </c>
      <c r="N95" s="196"/>
      <c r="P95" s="195" t="s">
        <v>12</v>
      </c>
      <c r="Q95" s="196"/>
      <c r="S95" s="195" t="s">
        <v>12</v>
      </c>
      <c r="T95" s="196"/>
    </row>
    <row r="96" spans="1:20" ht="24" customHeight="1" x14ac:dyDescent="0.35">
      <c r="A96" s="45" t="s">
        <v>13</v>
      </c>
      <c r="B96" s="45" t="s">
        <v>14</v>
      </c>
      <c r="C96" s="45" t="s">
        <v>15</v>
      </c>
      <c r="D96" s="11" t="s">
        <v>16</v>
      </c>
      <c r="E96" s="191" t="s">
        <v>17</v>
      </c>
      <c r="F96" s="192"/>
      <c r="G96" s="12" t="s">
        <v>18</v>
      </c>
      <c r="H96" s="12" t="s">
        <v>19</v>
      </c>
      <c r="I96" s="13" t="s">
        <v>20</v>
      </c>
      <c r="J96" s="18" t="s">
        <v>21</v>
      </c>
      <c r="K96" s="78"/>
      <c r="L96" s="19" t="s">
        <v>22</v>
      </c>
      <c r="M96" s="20" t="s">
        <v>23</v>
      </c>
      <c r="N96" s="19" t="s">
        <v>24</v>
      </c>
      <c r="P96" s="5" t="s">
        <v>23</v>
      </c>
      <c r="Q96" s="4" t="s">
        <v>24</v>
      </c>
      <c r="S96" s="5" t="s">
        <v>23</v>
      </c>
      <c r="T96" s="4" t="s">
        <v>24</v>
      </c>
    </row>
    <row r="97" spans="1:20" x14ac:dyDescent="0.35">
      <c r="A97" s="139">
        <v>1</v>
      </c>
      <c r="B97" s="182">
        <v>9</v>
      </c>
      <c r="C97" s="156">
        <v>24</v>
      </c>
      <c r="D97" s="88" t="s">
        <v>25</v>
      </c>
      <c r="E97" s="171" t="s">
        <v>26</v>
      </c>
      <c r="F97" s="172"/>
      <c r="G97" s="91" t="s">
        <v>27</v>
      </c>
      <c r="H97" s="92" t="s">
        <v>28</v>
      </c>
      <c r="I97" s="54">
        <v>53217.65</v>
      </c>
      <c r="J97" s="33">
        <f t="shared" ref="J97:J102" si="24">IF(AND((STDEV(I$97:I$102)/AVERAGE(I$97:I$102))&lt;=0.25,ISNUMBER(I97)),I97,IF(AND(I97&lt;=(AVERAGE(I$97:I$102)+STDEV(I$97:I$102)),I97&gt;=(AVERAGE(I$97:I$102)-STDEV(I$97:I$102)),ISNUMBER(I97)),I97,""))</f>
        <v>53217.65</v>
      </c>
      <c r="K97" s="21" t="str">
        <f t="shared" ref="K97:K102" si="25">IF(AND(COUNT(I$97:I$102)=1,ISNUMBER(I97)),"Sim",IF(AND((STDEV(J$97:J$102)/AVERAGE(J$97:J$102))&lt;0.25,ISNUMBER(J97)),"Sim",IF(AND(J97&lt;=(AVERAGE(J$97:J$102)+STDEV(J$97:J$102)),J97&gt;=(AVERAGE(J$97:J$102)-STDEV(J$97:J$102)),ISNUMBER(J97)),"Sim","Não")))</f>
        <v>Sim</v>
      </c>
      <c r="L97" s="21">
        <f t="shared" ref="L97:L102" si="26">IF(K97="Sim",J97,"")</f>
        <v>53217.65</v>
      </c>
      <c r="M97" s="227">
        <f>IF(COUNT(I97:I102)=1,I97,IF((COUNT(L97:L102)&lt;3),MIN(L97:L102),AVERAGE(L97:L102)))</f>
        <v>47596.773333333338</v>
      </c>
      <c r="N97" s="184">
        <f>C97*M97</f>
        <v>1142322.56</v>
      </c>
      <c r="P97" s="200">
        <f>ROUND(IF(COUNT(L97:L102)=1,L97,(MIN(L97:L102))),2)</f>
        <v>24000</v>
      </c>
      <c r="Q97" s="184">
        <f>C97*P97</f>
        <v>576000</v>
      </c>
      <c r="S97" s="200">
        <f>MIN(I97:I102)</f>
        <v>16631.439999999999</v>
      </c>
      <c r="T97" s="184">
        <f>ROUND((C97*S97),2)</f>
        <v>399154.56</v>
      </c>
    </row>
    <row r="98" spans="1:20" x14ac:dyDescent="0.35">
      <c r="A98" s="140"/>
      <c r="B98" s="144"/>
      <c r="C98" s="147"/>
      <c r="D98" s="71" t="s">
        <v>25</v>
      </c>
      <c r="E98" s="149" t="s">
        <v>38</v>
      </c>
      <c r="F98" s="150"/>
      <c r="G98" s="72" t="s">
        <v>39</v>
      </c>
      <c r="H98" s="73" t="s">
        <v>40</v>
      </c>
      <c r="I98" s="24">
        <v>96153.85</v>
      </c>
      <c r="J98" s="25">
        <f t="shared" si="24"/>
        <v>96153.85</v>
      </c>
      <c r="K98" s="26" t="str">
        <f t="shared" si="25"/>
        <v>Não</v>
      </c>
      <c r="L98" s="26" t="str">
        <f t="shared" si="26"/>
        <v/>
      </c>
      <c r="M98" s="228"/>
      <c r="N98" s="185"/>
      <c r="P98" s="201"/>
      <c r="Q98" s="185"/>
      <c r="S98" s="201"/>
      <c r="T98" s="185"/>
    </row>
    <row r="99" spans="1:20" x14ac:dyDescent="0.35">
      <c r="A99" s="140"/>
      <c r="B99" s="144"/>
      <c r="C99" s="147"/>
      <c r="D99" s="71" t="s">
        <v>32</v>
      </c>
      <c r="E99" s="149" t="s">
        <v>33</v>
      </c>
      <c r="F99" s="150"/>
      <c r="G99" s="72" t="s">
        <v>36</v>
      </c>
      <c r="H99" s="73" t="s">
        <v>37</v>
      </c>
      <c r="I99" s="24">
        <v>170729</v>
      </c>
      <c r="J99" s="25" t="str">
        <f t="shared" si="24"/>
        <v/>
      </c>
      <c r="K99" s="26" t="str">
        <f t="shared" si="25"/>
        <v>Não</v>
      </c>
      <c r="L99" s="26" t="str">
        <f t="shared" si="26"/>
        <v/>
      </c>
      <c r="M99" s="228"/>
      <c r="N99" s="185"/>
      <c r="P99" s="201"/>
      <c r="Q99" s="185"/>
      <c r="S99" s="201"/>
      <c r="T99" s="185"/>
    </row>
    <row r="100" spans="1:20" x14ac:dyDescent="0.35">
      <c r="A100" s="140"/>
      <c r="B100" s="144"/>
      <c r="C100" s="147"/>
      <c r="D100" s="71" t="s">
        <v>32</v>
      </c>
      <c r="E100" s="149" t="s">
        <v>33</v>
      </c>
      <c r="F100" s="150"/>
      <c r="G100" s="72" t="s">
        <v>34</v>
      </c>
      <c r="H100" s="73" t="s">
        <v>35</v>
      </c>
      <c r="I100" s="24">
        <v>65572.67</v>
      </c>
      <c r="J100" s="25">
        <f t="shared" si="24"/>
        <v>65572.67</v>
      </c>
      <c r="K100" s="26" t="str">
        <f t="shared" si="25"/>
        <v>Sim</v>
      </c>
      <c r="L100" s="26">
        <f t="shared" si="26"/>
        <v>65572.67</v>
      </c>
      <c r="M100" s="228"/>
      <c r="N100" s="185"/>
      <c r="P100" s="201"/>
      <c r="Q100" s="185"/>
      <c r="S100" s="201"/>
      <c r="T100" s="185"/>
    </row>
    <row r="101" spans="1:20" s="55" customFormat="1" x14ac:dyDescent="0.35">
      <c r="A101" s="141"/>
      <c r="B101" s="144"/>
      <c r="C101" s="147"/>
      <c r="D101" s="79" t="s">
        <v>25</v>
      </c>
      <c r="E101" s="149" t="s">
        <v>41</v>
      </c>
      <c r="F101" s="150"/>
      <c r="G101" s="86" t="s">
        <v>42</v>
      </c>
      <c r="H101" s="87" t="s">
        <v>43</v>
      </c>
      <c r="I101" s="24">
        <v>24000</v>
      </c>
      <c r="J101" s="66">
        <f t="shared" si="24"/>
        <v>24000</v>
      </c>
      <c r="K101" s="65" t="str">
        <f t="shared" si="25"/>
        <v>Sim</v>
      </c>
      <c r="L101" s="65">
        <f t="shared" si="26"/>
        <v>24000</v>
      </c>
      <c r="M101" s="228"/>
      <c r="N101" s="185"/>
      <c r="P101" s="201"/>
      <c r="Q101" s="185"/>
      <c r="S101" s="201"/>
      <c r="T101" s="185"/>
    </row>
    <row r="102" spans="1:20" ht="15" customHeight="1" x14ac:dyDescent="0.35">
      <c r="A102" s="142"/>
      <c r="B102" s="183"/>
      <c r="C102" s="157"/>
      <c r="D102" s="80" t="s">
        <v>25</v>
      </c>
      <c r="E102" s="151" t="s">
        <v>29</v>
      </c>
      <c r="F102" s="152"/>
      <c r="G102" s="81" t="s">
        <v>30</v>
      </c>
      <c r="H102" s="82" t="s">
        <v>31</v>
      </c>
      <c r="I102" s="28">
        <v>16631.439999999999</v>
      </c>
      <c r="J102" s="29">
        <f t="shared" si="24"/>
        <v>16631.439999999999</v>
      </c>
      <c r="K102" s="7" t="str">
        <f t="shared" si="25"/>
        <v>Não</v>
      </c>
      <c r="L102" s="7" t="str">
        <f t="shared" si="26"/>
        <v/>
      </c>
      <c r="M102" s="229"/>
      <c r="N102" s="186"/>
      <c r="P102" s="202"/>
      <c r="Q102" s="186"/>
      <c r="S102" s="202"/>
      <c r="T102" s="186"/>
    </row>
    <row r="103" spans="1:20" ht="4.5" customHeight="1" x14ac:dyDescent="0.35">
      <c r="A103" s="8"/>
      <c r="B103" s="8"/>
      <c r="C103" s="31"/>
      <c r="D103" s="67"/>
      <c r="E103" s="67"/>
      <c r="F103" s="67"/>
      <c r="G103" s="68"/>
      <c r="H103" s="68"/>
      <c r="I103" s="69"/>
      <c r="J103" s="70"/>
      <c r="K103" s="9"/>
      <c r="L103" s="9"/>
      <c r="M103" s="46"/>
      <c r="N103" s="10"/>
    </row>
    <row r="104" spans="1:20" x14ac:dyDescent="0.35">
      <c r="A104" s="153" t="s">
        <v>5</v>
      </c>
      <c r="B104" s="154"/>
      <c r="C104" s="154"/>
      <c r="D104" s="154"/>
      <c r="E104" s="155"/>
      <c r="F104" s="153" t="s">
        <v>6</v>
      </c>
      <c r="G104" s="154"/>
      <c r="H104" s="155"/>
      <c r="I104" s="153" t="s">
        <v>7</v>
      </c>
      <c r="J104" s="154"/>
      <c r="K104" s="154"/>
      <c r="L104" s="155"/>
      <c r="M104" s="153" t="s">
        <v>8</v>
      </c>
      <c r="N104" s="155"/>
      <c r="P104" s="153" t="s">
        <v>8</v>
      </c>
      <c r="Q104" s="155"/>
      <c r="S104" s="153" t="s">
        <v>8</v>
      </c>
      <c r="T104" s="155"/>
    </row>
    <row r="105" spans="1:20" s="1" customFormat="1" ht="15" customHeight="1" x14ac:dyDescent="0.35">
      <c r="A105" s="160">
        <v>27014</v>
      </c>
      <c r="B105" s="161"/>
      <c r="C105" s="161"/>
      <c r="D105" s="161"/>
      <c r="E105" s="162"/>
      <c r="F105" s="174" t="s">
        <v>57</v>
      </c>
      <c r="G105" s="175"/>
      <c r="H105" s="176"/>
      <c r="I105" s="207" t="s">
        <v>10</v>
      </c>
      <c r="J105" s="208"/>
      <c r="K105" s="208"/>
      <c r="L105" s="209"/>
      <c r="M105" s="193" t="s">
        <v>11</v>
      </c>
      <c r="N105" s="194"/>
      <c r="P105" s="193" t="s">
        <v>11</v>
      </c>
      <c r="Q105" s="194"/>
      <c r="S105" s="193" t="s">
        <v>11</v>
      </c>
      <c r="T105" s="194"/>
    </row>
    <row r="106" spans="1:20" ht="15" customHeight="1" x14ac:dyDescent="0.35">
      <c r="A106" s="163"/>
      <c r="B106" s="164"/>
      <c r="C106" s="164"/>
      <c r="D106" s="164"/>
      <c r="E106" s="165"/>
      <c r="F106" s="177"/>
      <c r="G106" s="178"/>
      <c r="H106" s="179"/>
      <c r="I106" s="193"/>
      <c r="J106" s="210"/>
      <c r="K106" s="210"/>
      <c r="L106" s="194"/>
      <c r="M106" s="195" t="s">
        <v>12</v>
      </c>
      <c r="N106" s="196"/>
      <c r="P106" s="195" t="s">
        <v>12</v>
      </c>
      <c r="Q106" s="196"/>
      <c r="S106" s="195" t="s">
        <v>12</v>
      </c>
      <c r="T106" s="196"/>
    </row>
    <row r="107" spans="1:20" ht="24" customHeight="1" x14ac:dyDescent="0.35">
      <c r="A107" s="45" t="s">
        <v>13</v>
      </c>
      <c r="B107" s="45" t="s">
        <v>14</v>
      </c>
      <c r="C107" s="45" t="s">
        <v>15</v>
      </c>
      <c r="D107" s="11" t="s">
        <v>16</v>
      </c>
      <c r="E107" s="191" t="s">
        <v>17</v>
      </c>
      <c r="F107" s="192"/>
      <c r="G107" s="12" t="s">
        <v>18</v>
      </c>
      <c r="H107" s="12" t="s">
        <v>19</v>
      </c>
      <c r="I107" s="13" t="s">
        <v>20</v>
      </c>
      <c r="J107" s="18" t="s">
        <v>21</v>
      </c>
      <c r="K107" s="78"/>
      <c r="L107" s="19" t="s">
        <v>22</v>
      </c>
      <c r="M107" s="20" t="s">
        <v>23</v>
      </c>
      <c r="N107" s="19" t="s">
        <v>24</v>
      </c>
      <c r="P107" s="5" t="s">
        <v>23</v>
      </c>
      <c r="Q107" s="4" t="s">
        <v>24</v>
      </c>
      <c r="S107" s="5" t="s">
        <v>23</v>
      </c>
      <c r="T107" s="4" t="s">
        <v>24</v>
      </c>
    </row>
    <row r="108" spans="1:20" x14ac:dyDescent="0.35">
      <c r="A108" s="139">
        <v>1</v>
      </c>
      <c r="B108" s="143">
        <v>10</v>
      </c>
      <c r="C108" s="146">
        <v>24</v>
      </c>
      <c r="D108" s="88" t="s">
        <v>25</v>
      </c>
      <c r="E108" s="171" t="s">
        <v>26</v>
      </c>
      <c r="F108" s="172"/>
      <c r="G108" s="91" t="s">
        <v>27</v>
      </c>
      <c r="H108" s="92" t="s">
        <v>28</v>
      </c>
      <c r="I108" s="69">
        <v>53217.65</v>
      </c>
      <c r="J108" s="36">
        <f t="shared" ref="J108:J113" si="27">IF(AND((STDEV(I$108:I$113)/AVERAGE(I$108:I$113))&lt;=0.25,ISNUMBER(I108)),I108,IF(AND(I108&lt;=(AVERAGE(I$108:I$113)+STDEV(I$108:I$113)),I108&gt;=(AVERAGE(I$108:I$113)-STDEV(I$108:I$113)),ISNUMBER(I108)),I108,""))</f>
        <v>53217.65</v>
      </c>
      <c r="K108" s="37" t="str">
        <f t="shared" ref="K108:K113" si="28">IF(AND(COUNT(I$108:I$113)=1,ISNUMBER(I108)),"Sim",IF(AND((STDEV(J$108:J$113)/AVERAGE(J$108:J$113))&lt;0.25,ISNUMBER(J108)),"Sim",IF(AND(J108&lt;=(AVERAGE(J$108:J$113)+STDEV(J$108:J$113)),J108&gt;=(AVERAGE(J$108:J$113)-STDEV(J$108:J$113)),ISNUMBER(J108)),"Sim","Não")))</f>
        <v>Sim</v>
      </c>
      <c r="L108" s="38">
        <f t="shared" ref="L108:L113" si="29">IF(K108="Sim",J108,"")</f>
        <v>53217.65</v>
      </c>
      <c r="M108" s="200">
        <f>IF(COUNT(I108:I113)=1,I108,IF((COUNT(L108:L113)&lt;3),MIN(L108:L113),AVERAGE(L108:L113)))</f>
        <v>45509.487500000003</v>
      </c>
      <c r="N108" s="184">
        <f>C108*M108</f>
        <v>1092227.7000000002</v>
      </c>
      <c r="P108" s="200">
        <f>IF(COUNT(L108:L113)=1,L108,(MIN(L108:L113)))</f>
        <v>32000</v>
      </c>
      <c r="Q108" s="184">
        <f>C108*P108</f>
        <v>768000</v>
      </c>
      <c r="S108" s="200">
        <f>MIN(I108:I113)</f>
        <v>32000</v>
      </c>
      <c r="T108" s="184">
        <f>ROUND((C108*S108),2)</f>
        <v>768000</v>
      </c>
    </row>
    <row r="109" spans="1:20" x14ac:dyDescent="0.35">
      <c r="A109" s="140"/>
      <c r="B109" s="144"/>
      <c r="C109" s="147"/>
      <c r="D109" s="71" t="s">
        <v>25</v>
      </c>
      <c r="E109" s="149" t="s">
        <v>38</v>
      </c>
      <c r="F109" s="150"/>
      <c r="G109" s="72" t="s">
        <v>39</v>
      </c>
      <c r="H109" s="73" t="s">
        <v>40</v>
      </c>
      <c r="I109" s="95">
        <v>96153.85</v>
      </c>
      <c r="J109" s="102">
        <f t="shared" si="27"/>
        <v>96153.85</v>
      </c>
      <c r="K109" s="103" t="str">
        <f t="shared" si="28"/>
        <v>Não</v>
      </c>
      <c r="L109" s="104" t="str">
        <f t="shared" si="29"/>
        <v/>
      </c>
      <c r="M109" s="201"/>
      <c r="N109" s="185"/>
      <c r="P109" s="201"/>
      <c r="Q109" s="185"/>
      <c r="S109" s="201"/>
      <c r="T109" s="185"/>
    </row>
    <row r="110" spans="1:20" x14ac:dyDescent="0.35">
      <c r="A110" s="140"/>
      <c r="B110" s="144"/>
      <c r="C110" s="147"/>
      <c r="D110" s="71" t="s">
        <v>32</v>
      </c>
      <c r="E110" s="149" t="s">
        <v>33</v>
      </c>
      <c r="F110" s="150"/>
      <c r="G110" s="72" t="s">
        <v>36</v>
      </c>
      <c r="H110" s="73" t="s">
        <v>37</v>
      </c>
      <c r="I110" s="95">
        <v>170729</v>
      </c>
      <c r="J110" s="102" t="str">
        <f t="shared" si="27"/>
        <v/>
      </c>
      <c r="K110" s="103" t="str">
        <f t="shared" si="28"/>
        <v>Não</v>
      </c>
      <c r="L110" s="104" t="str">
        <f t="shared" si="29"/>
        <v/>
      </c>
      <c r="M110" s="201"/>
      <c r="N110" s="185"/>
      <c r="P110" s="201"/>
      <c r="Q110" s="185"/>
      <c r="S110" s="201"/>
      <c r="T110" s="185"/>
    </row>
    <row r="111" spans="1:20" x14ac:dyDescent="0.35">
      <c r="A111" s="140"/>
      <c r="B111" s="144"/>
      <c r="C111" s="147"/>
      <c r="D111" s="71" t="s">
        <v>32</v>
      </c>
      <c r="E111" s="149" t="s">
        <v>33</v>
      </c>
      <c r="F111" s="150"/>
      <c r="G111" s="72" t="s">
        <v>34</v>
      </c>
      <c r="H111" s="73" t="s">
        <v>35</v>
      </c>
      <c r="I111" s="95">
        <v>44853.29</v>
      </c>
      <c r="J111" s="102">
        <f t="shared" si="27"/>
        <v>44853.29</v>
      </c>
      <c r="K111" s="103" t="str">
        <f t="shared" si="28"/>
        <v>Sim</v>
      </c>
      <c r="L111" s="104">
        <f t="shared" si="29"/>
        <v>44853.29</v>
      </c>
      <c r="M111" s="201"/>
      <c r="N111" s="185"/>
      <c r="P111" s="201"/>
      <c r="Q111" s="185"/>
      <c r="S111" s="201"/>
      <c r="T111" s="185"/>
    </row>
    <row r="112" spans="1:20" x14ac:dyDescent="0.35">
      <c r="A112" s="141"/>
      <c r="B112" s="144"/>
      <c r="C112" s="147"/>
      <c r="D112" s="79" t="s">
        <v>25</v>
      </c>
      <c r="E112" s="149" t="s">
        <v>41</v>
      </c>
      <c r="F112" s="150"/>
      <c r="G112" s="86" t="s">
        <v>42</v>
      </c>
      <c r="H112" s="87" t="s">
        <v>43</v>
      </c>
      <c r="I112" s="69">
        <v>32000</v>
      </c>
      <c r="J112" s="40">
        <f t="shared" si="27"/>
        <v>32000</v>
      </c>
      <c r="K112" s="41" t="str">
        <f t="shared" si="28"/>
        <v>Sim</v>
      </c>
      <c r="L112" s="42">
        <f t="shared" si="29"/>
        <v>32000</v>
      </c>
      <c r="M112" s="201"/>
      <c r="N112" s="185"/>
      <c r="P112" s="201"/>
      <c r="Q112" s="185"/>
      <c r="S112" s="201"/>
      <c r="T112" s="185"/>
    </row>
    <row r="113" spans="1:20" x14ac:dyDescent="0.35">
      <c r="A113" s="142"/>
      <c r="B113" s="145"/>
      <c r="C113" s="148"/>
      <c r="D113" s="80" t="s">
        <v>25</v>
      </c>
      <c r="E113" s="151" t="s">
        <v>29</v>
      </c>
      <c r="F113" s="152"/>
      <c r="G113" s="81" t="s">
        <v>30</v>
      </c>
      <c r="H113" s="82" t="s">
        <v>31</v>
      </c>
      <c r="I113" s="56">
        <v>51967.01</v>
      </c>
      <c r="J113" s="50">
        <f t="shared" si="27"/>
        <v>51967.01</v>
      </c>
      <c r="K113" s="51" t="str">
        <f t="shared" si="28"/>
        <v>Sim</v>
      </c>
      <c r="L113" s="52">
        <f t="shared" si="29"/>
        <v>51967.01</v>
      </c>
      <c r="M113" s="202"/>
      <c r="N113" s="186"/>
      <c r="P113" s="202"/>
      <c r="Q113" s="186"/>
      <c r="S113" s="202"/>
      <c r="T113" s="186"/>
    </row>
    <row r="114" spans="1:20" ht="4.5" customHeight="1" x14ac:dyDescent="0.35"/>
    <row r="115" spans="1:20" x14ac:dyDescent="0.35">
      <c r="A115" s="153" t="s">
        <v>5</v>
      </c>
      <c r="B115" s="154"/>
      <c r="C115" s="154"/>
      <c r="D115" s="154"/>
      <c r="E115" s="155"/>
      <c r="F115" s="153" t="s">
        <v>6</v>
      </c>
      <c r="G115" s="154"/>
      <c r="H115" s="155"/>
      <c r="I115" s="153" t="s">
        <v>7</v>
      </c>
      <c r="J115" s="154"/>
      <c r="K115" s="154"/>
      <c r="L115" s="155"/>
      <c r="M115" s="153" t="s">
        <v>8</v>
      </c>
      <c r="N115" s="155"/>
      <c r="P115" s="153" t="s">
        <v>8</v>
      </c>
      <c r="Q115" s="155"/>
      <c r="S115" s="153" t="s">
        <v>8</v>
      </c>
      <c r="T115" s="155"/>
    </row>
    <row r="116" spans="1:20" s="1" customFormat="1" ht="15" customHeight="1" x14ac:dyDescent="0.35">
      <c r="A116" s="160">
        <v>27014</v>
      </c>
      <c r="B116" s="161"/>
      <c r="C116" s="161"/>
      <c r="D116" s="161"/>
      <c r="E116" s="162"/>
      <c r="F116" s="174" t="s">
        <v>58</v>
      </c>
      <c r="G116" s="175"/>
      <c r="H116" s="176"/>
      <c r="I116" s="207" t="s">
        <v>10</v>
      </c>
      <c r="J116" s="208"/>
      <c r="K116" s="208"/>
      <c r="L116" s="209"/>
      <c r="M116" s="193" t="s">
        <v>11</v>
      </c>
      <c r="N116" s="194"/>
      <c r="P116" s="193" t="s">
        <v>11</v>
      </c>
      <c r="Q116" s="194"/>
      <c r="S116" s="193" t="s">
        <v>11</v>
      </c>
      <c r="T116" s="194"/>
    </row>
    <row r="117" spans="1:20" ht="15" customHeight="1" x14ac:dyDescent="0.35">
      <c r="A117" s="163"/>
      <c r="B117" s="164"/>
      <c r="C117" s="164"/>
      <c r="D117" s="164"/>
      <c r="E117" s="165"/>
      <c r="F117" s="177"/>
      <c r="G117" s="178"/>
      <c r="H117" s="179"/>
      <c r="I117" s="193"/>
      <c r="J117" s="210"/>
      <c r="K117" s="210"/>
      <c r="L117" s="194"/>
      <c r="M117" s="195" t="s">
        <v>12</v>
      </c>
      <c r="N117" s="196"/>
      <c r="P117" s="195" t="s">
        <v>12</v>
      </c>
      <c r="Q117" s="196"/>
      <c r="S117" s="195" t="s">
        <v>12</v>
      </c>
      <c r="T117" s="196"/>
    </row>
    <row r="118" spans="1:20" ht="24" customHeight="1" x14ac:dyDescent="0.35">
      <c r="A118" s="45" t="s">
        <v>13</v>
      </c>
      <c r="B118" s="45" t="s">
        <v>14</v>
      </c>
      <c r="C118" s="45" t="s">
        <v>15</v>
      </c>
      <c r="D118" s="11" t="s">
        <v>16</v>
      </c>
      <c r="E118" s="191" t="s">
        <v>17</v>
      </c>
      <c r="F118" s="192"/>
      <c r="G118" s="12" t="s">
        <v>18</v>
      </c>
      <c r="H118" s="12" t="s">
        <v>19</v>
      </c>
      <c r="I118" s="13" t="s">
        <v>20</v>
      </c>
      <c r="J118" s="18" t="s">
        <v>21</v>
      </c>
      <c r="K118" s="78"/>
      <c r="L118" s="19" t="s">
        <v>22</v>
      </c>
      <c r="M118" s="20" t="s">
        <v>23</v>
      </c>
      <c r="N118" s="19" t="s">
        <v>24</v>
      </c>
      <c r="P118" s="5" t="s">
        <v>23</v>
      </c>
      <c r="Q118" s="4" t="s">
        <v>24</v>
      </c>
      <c r="S118" s="5" t="s">
        <v>23</v>
      </c>
      <c r="T118" s="4" t="s">
        <v>24</v>
      </c>
    </row>
    <row r="119" spans="1:20" x14ac:dyDescent="0.35">
      <c r="A119" s="139">
        <v>2</v>
      </c>
      <c r="B119" s="143">
        <v>11</v>
      </c>
      <c r="C119" s="146">
        <v>24</v>
      </c>
      <c r="D119" s="71" t="s">
        <v>25</v>
      </c>
      <c r="E119" s="149" t="s">
        <v>38</v>
      </c>
      <c r="F119" s="150"/>
      <c r="G119" s="72" t="s">
        <v>39</v>
      </c>
      <c r="H119" s="73" t="s">
        <v>40</v>
      </c>
      <c r="I119" s="34">
        <v>57000</v>
      </c>
      <c r="J119" s="33">
        <f t="shared" ref="J119:J124" si="30">IF(AND((STDEV(I$119:I$124)/AVERAGE(I$119:I$124))&lt;=0.25,ISNUMBER(I119)),I119,IF(AND(I119&lt;=(AVERAGE(I$119:I$124)+STDEV(I$119:I$124)),I119&gt;=(AVERAGE(I$119:I$124)-STDEV(I$119:I$124)),ISNUMBER(I119)),I119,""))</f>
        <v>57000</v>
      </c>
      <c r="K119" s="21" t="str">
        <f t="shared" ref="K119:K124" si="31">IF(AND(COUNT(I$119:I$124)=1,ISNUMBER(I119)),"Sim",IF(AND((STDEV(J$119:J$124)/AVERAGE(J$119:J$124))&lt;0.25,ISNUMBER(J119)),"Sim",IF(AND(J119&lt;=(AVERAGE(J$119:J$124)+STDEV(J$119:J$124)),J119&gt;=(AVERAGE(J$119:J$124)-STDEV(J$119:J$124)),ISNUMBER(J119)),"Sim","Não")))</f>
        <v>Sim</v>
      </c>
      <c r="L119" s="22">
        <f t="shared" ref="L119:L124" si="32">IF(K119="Sim",J119,"")</f>
        <v>57000</v>
      </c>
      <c r="M119" s="200">
        <f>IF(COUNT(I119:I124)=1,I119,IF((COUNT(L119:L124)&lt;3),MIN(L119:L124),AVERAGE(L119:L124)))</f>
        <v>46000</v>
      </c>
      <c r="N119" s="184">
        <f>C119*M119</f>
        <v>1104000</v>
      </c>
      <c r="P119" s="200">
        <f>ROUND(IF(COUNT(L119:L124)=1,L119,(MIN(L119:L124))),2)</f>
        <v>32000</v>
      </c>
      <c r="Q119" s="184">
        <f>C119*P119</f>
        <v>768000</v>
      </c>
      <c r="S119" s="200">
        <f>MIN(I119:I124)</f>
        <v>26813.73</v>
      </c>
      <c r="T119" s="184">
        <f>ROUND((C119*S119),2)</f>
        <v>643529.52</v>
      </c>
    </row>
    <row r="120" spans="1:20" x14ac:dyDescent="0.35">
      <c r="A120" s="188"/>
      <c r="B120" s="144"/>
      <c r="C120" s="147"/>
      <c r="D120" s="79" t="s">
        <v>25</v>
      </c>
      <c r="E120" s="149" t="s">
        <v>41</v>
      </c>
      <c r="F120" s="150"/>
      <c r="G120" s="86" t="s">
        <v>42</v>
      </c>
      <c r="H120" s="87" t="s">
        <v>43</v>
      </c>
      <c r="I120" s="53">
        <v>49000</v>
      </c>
      <c r="J120" s="66">
        <f t="shared" si="30"/>
        <v>49000</v>
      </c>
      <c r="K120" s="65" t="str">
        <f t="shared" si="31"/>
        <v>Sim</v>
      </c>
      <c r="L120" s="23">
        <f t="shared" si="32"/>
        <v>49000</v>
      </c>
      <c r="M120" s="201"/>
      <c r="N120" s="185"/>
      <c r="P120" s="201"/>
      <c r="Q120" s="185"/>
      <c r="S120" s="201"/>
      <c r="T120" s="185"/>
    </row>
    <row r="121" spans="1:20" x14ac:dyDescent="0.35">
      <c r="A121" s="141"/>
      <c r="B121" s="144"/>
      <c r="C121" s="147"/>
      <c r="D121" s="71" t="s">
        <v>32</v>
      </c>
      <c r="E121" s="149" t="s">
        <v>33</v>
      </c>
      <c r="F121" s="150"/>
      <c r="G121" s="72" t="s">
        <v>36</v>
      </c>
      <c r="H121" s="73" t="s">
        <v>37</v>
      </c>
      <c r="I121" s="53">
        <v>174514</v>
      </c>
      <c r="J121" s="66" t="str">
        <f t="shared" si="30"/>
        <v/>
      </c>
      <c r="K121" s="65" t="str">
        <f t="shared" si="31"/>
        <v>Não</v>
      </c>
      <c r="L121" s="23" t="str">
        <f t="shared" si="32"/>
        <v/>
      </c>
      <c r="M121" s="201"/>
      <c r="N121" s="185"/>
      <c r="P121" s="201"/>
      <c r="Q121" s="185"/>
      <c r="S121" s="201"/>
      <c r="T121" s="185"/>
    </row>
    <row r="122" spans="1:20" x14ac:dyDescent="0.35">
      <c r="A122" s="141"/>
      <c r="B122" s="144"/>
      <c r="C122" s="147"/>
      <c r="D122" s="71" t="s">
        <v>32</v>
      </c>
      <c r="E122" s="149" t="s">
        <v>33</v>
      </c>
      <c r="F122" s="150"/>
      <c r="G122" s="72" t="s">
        <v>34</v>
      </c>
      <c r="H122" s="73" t="s">
        <v>35</v>
      </c>
      <c r="I122" s="69">
        <v>26813.73</v>
      </c>
      <c r="J122" s="66">
        <f t="shared" si="30"/>
        <v>26813.73</v>
      </c>
      <c r="K122" s="65" t="str">
        <f t="shared" si="31"/>
        <v>Não</v>
      </c>
      <c r="L122" s="23" t="str">
        <f t="shared" si="32"/>
        <v/>
      </c>
      <c r="M122" s="201"/>
      <c r="N122" s="185"/>
      <c r="P122" s="201"/>
      <c r="Q122" s="185"/>
      <c r="S122" s="201"/>
      <c r="T122" s="185"/>
    </row>
    <row r="123" spans="1:20" ht="15" customHeight="1" x14ac:dyDescent="0.35">
      <c r="A123" s="141"/>
      <c r="B123" s="144"/>
      <c r="C123" s="147"/>
      <c r="D123" s="71" t="s">
        <v>32</v>
      </c>
      <c r="E123" s="166" t="s">
        <v>59</v>
      </c>
      <c r="F123" s="167"/>
      <c r="G123" s="72" t="s">
        <v>60</v>
      </c>
      <c r="H123" s="73" t="s">
        <v>61</v>
      </c>
      <c r="I123" s="43">
        <v>32000</v>
      </c>
      <c r="J123" s="66">
        <f t="shared" si="30"/>
        <v>32000</v>
      </c>
      <c r="K123" s="65" t="str">
        <f t="shared" si="31"/>
        <v>Sim</v>
      </c>
      <c r="L123" s="23">
        <f t="shared" si="32"/>
        <v>32000</v>
      </c>
      <c r="M123" s="201"/>
      <c r="N123" s="185"/>
      <c r="P123" s="201"/>
      <c r="Q123" s="185"/>
      <c r="S123" s="201"/>
      <c r="T123" s="185"/>
    </row>
    <row r="124" spans="1:20" x14ac:dyDescent="0.35">
      <c r="A124" s="142"/>
      <c r="B124" s="145"/>
      <c r="C124" s="148"/>
      <c r="D124" s="80" t="s">
        <v>25</v>
      </c>
      <c r="E124" s="151" t="s">
        <v>29</v>
      </c>
      <c r="F124" s="152"/>
      <c r="G124" s="81" t="s">
        <v>30</v>
      </c>
      <c r="H124" s="82" t="s">
        <v>31</v>
      </c>
      <c r="I124" s="44">
        <v>75138.22</v>
      </c>
      <c r="J124" s="29">
        <f t="shared" si="30"/>
        <v>75138.22</v>
      </c>
      <c r="K124" s="7" t="str">
        <f t="shared" si="31"/>
        <v>Não</v>
      </c>
      <c r="L124" s="30" t="str">
        <f t="shared" si="32"/>
        <v/>
      </c>
      <c r="M124" s="202"/>
      <c r="N124" s="186"/>
      <c r="P124" s="202"/>
      <c r="Q124" s="186"/>
      <c r="S124" s="202"/>
      <c r="T124" s="186"/>
    </row>
    <row r="125" spans="1:20" ht="4.5" customHeight="1" x14ac:dyDescent="0.35">
      <c r="A125" s="8"/>
      <c r="B125" s="8"/>
      <c r="C125" s="31"/>
      <c r="D125" s="67"/>
      <c r="E125" s="67"/>
      <c r="F125" s="67"/>
      <c r="G125" s="47"/>
      <c r="H125" s="48"/>
      <c r="I125" s="69"/>
      <c r="J125" s="70"/>
      <c r="K125" s="9"/>
      <c r="L125" s="9"/>
      <c r="M125" s="46"/>
      <c r="N125" s="10"/>
      <c r="P125" s="46"/>
      <c r="Q125" s="10"/>
      <c r="S125" s="46"/>
      <c r="T125" s="10"/>
    </row>
    <row r="126" spans="1:20" x14ac:dyDescent="0.35">
      <c r="A126" s="153" t="s">
        <v>5</v>
      </c>
      <c r="B126" s="154"/>
      <c r="C126" s="154"/>
      <c r="D126" s="154"/>
      <c r="E126" s="155"/>
      <c r="F126" s="153" t="s">
        <v>6</v>
      </c>
      <c r="G126" s="154"/>
      <c r="H126" s="155"/>
      <c r="I126" s="153" t="s">
        <v>7</v>
      </c>
      <c r="J126" s="154"/>
      <c r="K126" s="154"/>
      <c r="L126" s="155"/>
      <c r="M126" s="153" t="s">
        <v>8</v>
      </c>
      <c r="N126" s="155"/>
      <c r="P126" s="153" t="s">
        <v>8</v>
      </c>
      <c r="Q126" s="155"/>
      <c r="S126" s="153" t="s">
        <v>8</v>
      </c>
      <c r="T126" s="155"/>
    </row>
    <row r="127" spans="1:20" s="1" customFormat="1" ht="15" customHeight="1" x14ac:dyDescent="0.35">
      <c r="A127" s="160">
        <v>27014</v>
      </c>
      <c r="B127" s="161"/>
      <c r="C127" s="161"/>
      <c r="D127" s="161"/>
      <c r="E127" s="162"/>
      <c r="F127" s="174" t="s">
        <v>62</v>
      </c>
      <c r="G127" s="175"/>
      <c r="H127" s="176"/>
      <c r="I127" s="207" t="s">
        <v>63</v>
      </c>
      <c r="J127" s="208"/>
      <c r="K127" s="208"/>
      <c r="L127" s="209"/>
      <c r="M127" s="193" t="s">
        <v>11</v>
      </c>
      <c r="N127" s="194"/>
      <c r="P127" s="193" t="s">
        <v>11</v>
      </c>
      <c r="Q127" s="194"/>
      <c r="S127" s="193" t="s">
        <v>11</v>
      </c>
      <c r="T127" s="194"/>
    </row>
    <row r="128" spans="1:20" ht="15" customHeight="1" x14ac:dyDescent="0.35">
      <c r="A128" s="163"/>
      <c r="B128" s="164"/>
      <c r="C128" s="164"/>
      <c r="D128" s="164"/>
      <c r="E128" s="165"/>
      <c r="F128" s="177"/>
      <c r="G128" s="178"/>
      <c r="H128" s="179"/>
      <c r="I128" s="193"/>
      <c r="J128" s="210"/>
      <c r="K128" s="210"/>
      <c r="L128" s="194"/>
      <c r="M128" s="195" t="s">
        <v>12</v>
      </c>
      <c r="N128" s="196"/>
      <c r="P128" s="195" t="s">
        <v>12</v>
      </c>
      <c r="Q128" s="196"/>
      <c r="S128" s="195" t="s">
        <v>12</v>
      </c>
      <c r="T128" s="196"/>
    </row>
    <row r="129" spans="1:20" ht="24" customHeight="1" x14ac:dyDescent="0.35">
      <c r="A129" s="45" t="s">
        <v>13</v>
      </c>
      <c r="B129" s="45" t="s">
        <v>14</v>
      </c>
      <c r="C129" s="45" t="s">
        <v>15</v>
      </c>
      <c r="D129" s="11" t="s">
        <v>16</v>
      </c>
      <c r="E129" s="191" t="s">
        <v>17</v>
      </c>
      <c r="F129" s="192"/>
      <c r="G129" s="12" t="s">
        <v>18</v>
      </c>
      <c r="H129" s="12" t="s">
        <v>19</v>
      </c>
      <c r="I129" s="13" t="s">
        <v>20</v>
      </c>
      <c r="J129" s="18" t="s">
        <v>21</v>
      </c>
      <c r="K129" s="78"/>
      <c r="L129" s="19" t="s">
        <v>22</v>
      </c>
      <c r="M129" s="20" t="s">
        <v>23</v>
      </c>
      <c r="N129" s="19" t="s">
        <v>24</v>
      </c>
      <c r="P129" s="5" t="s">
        <v>23</v>
      </c>
      <c r="Q129" s="4" t="s">
        <v>24</v>
      </c>
      <c r="S129" s="5" t="s">
        <v>23</v>
      </c>
      <c r="T129" s="4" t="s">
        <v>24</v>
      </c>
    </row>
    <row r="130" spans="1:20" s="1" customFormat="1" x14ac:dyDescent="0.35">
      <c r="A130" s="139">
        <v>3</v>
      </c>
      <c r="B130" s="143">
        <v>12</v>
      </c>
      <c r="C130" s="146">
        <v>240</v>
      </c>
      <c r="D130" s="88" t="s">
        <v>25</v>
      </c>
      <c r="E130" s="171" t="s">
        <v>26</v>
      </c>
      <c r="F130" s="172"/>
      <c r="G130" s="91" t="s">
        <v>27</v>
      </c>
      <c r="H130" s="92" t="s">
        <v>28</v>
      </c>
      <c r="I130" s="34">
        <v>11822.26</v>
      </c>
      <c r="J130" s="33">
        <f>IF(AND((STDEV(I$130:I$136)/AVERAGE(I$130:I$136))&lt;=0.25,ISNUMBER(I130)),I130,IF(AND(I130&lt;=(AVERAGE(I$130:I$136)+STDEV(I$130:I$136)),I130&gt;=(AVERAGE(I$130:I$136)-STDEV(I$130:I$136)),ISNUMBER(I130)),I130,""))</f>
        <v>11822.26</v>
      </c>
      <c r="K130" s="21" t="str">
        <f t="shared" ref="K130:K136" si="33">IF(AND(COUNT(I$130:I$136)=1,ISNUMBER(I130)),"Sim",IF(AND((STDEV(J$130:J$136)/AVERAGE(J$130:J$136))&lt;0.25,ISNUMBER(J130)),"Sim",IF(AND(J130&lt;=(AVERAGE(J$130:J$136)+STDEV(J$130:J$136)),J130&gt;=(AVERAGE(J$130:J$136)-STDEV(J$130:J$136)),ISNUMBER(J130)),"Sim","Não")))</f>
        <v>Sim</v>
      </c>
      <c r="L130" s="22">
        <f t="shared" ref="L130:L136" si="34">IF(K130="Sim",J130,"")</f>
        <v>11822.26</v>
      </c>
      <c r="M130" s="200">
        <f>IF(COUNT(I130:I136)=1,I130,IF((COUNT(L130:L136)&lt;3),MIN(L130:L136),AVERAGE(L130:L136)))</f>
        <v>13728.5975</v>
      </c>
      <c r="N130" s="184">
        <f>C130*M130</f>
        <v>3294863.4</v>
      </c>
      <c r="P130" s="200">
        <f>ROUND(IF(COUNT(L130:L136)=1,L130,(MIN(L130:L136))),2)</f>
        <v>8557.73</v>
      </c>
      <c r="Q130" s="184">
        <f>C130*P130</f>
        <v>2053855.2</v>
      </c>
      <c r="S130" s="200">
        <f>MIN(I130:I136)</f>
        <v>2500</v>
      </c>
      <c r="T130" s="184">
        <f>ROUND((C130*S130),2)</f>
        <v>600000</v>
      </c>
    </row>
    <row r="131" spans="1:20" s="1" customFormat="1" x14ac:dyDescent="0.35">
      <c r="A131" s="187"/>
      <c r="B131" s="144"/>
      <c r="C131" s="147"/>
      <c r="D131" s="71" t="s">
        <v>25</v>
      </c>
      <c r="E131" s="149" t="s">
        <v>38</v>
      </c>
      <c r="F131" s="150"/>
      <c r="G131" s="72" t="s">
        <v>39</v>
      </c>
      <c r="H131" s="73" t="s">
        <v>40</v>
      </c>
      <c r="I131" s="34">
        <v>8557.73</v>
      </c>
      <c r="J131" s="66">
        <f t="shared" ref="J131:J136" si="35">IF(AND((STDEV(I$130:I$136)/AVERAGE(I$130:I$136))&lt;=0.25,ISNUMBER(I131)),I131,IF(AND(I131&lt;=(AVERAGE(I$130:I$136)+STDEV(I$130:I$136)),I131&gt;=(AVERAGE(I$130:I$136)-STDEV(I$130:I$136)),ISNUMBER(I131)),I131,""))</f>
        <v>8557.73</v>
      </c>
      <c r="K131" s="65" t="str">
        <f t="shared" si="33"/>
        <v>Sim</v>
      </c>
      <c r="L131" s="23">
        <f t="shared" si="34"/>
        <v>8557.73</v>
      </c>
      <c r="M131" s="201"/>
      <c r="N131" s="185"/>
      <c r="P131" s="201"/>
      <c r="Q131" s="185"/>
      <c r="S131" s="201"/>
      <c r="T131" s="185"/>
    </row>
    <row r="132" spans="1:20" s="1" customFormat="1" x14ac:dyDescent="0.35">
      <c r="A132" s="187"/>
      <c r="B132" s="144"/>
      <c r="C132" s="147"/>
      <c r="D132" s="71" t="s">
        <v>32</v>
      </c>
      <c r="E132" s="149" t="s">
        <v>33</v>
      </c>
      <c r="F132" s="150"/>
      <c r="G132" s="72" t="s">
        <v>36</v>
      </c>
      <c r="H132" s="73" t="s">
        <v>37</v>
      </c>
      <c r="I132" s="34">
        <v>63827</v>
      </c>
      <c r="J132" s="66" t="str">
        <f t="shared" si="35"/>
        <v/>
      </c>
      <c r="K132" s="65" t="str">
        <f t="shared" si="33"/>
        <v>Não</v>
      </c>
      <c r="L132" s="23" t="str">
        <f t="shared" si="34"/>
        <v/>
      </c>
      <c r="M132" s="201"/>
      <c r="N132" s="185"/>
      <c r="P132" s="201"/>
      <c r="Q132" s="185"/>
      <c r="S132" s="201"/>
      <c r="T132" s="185"/>
    </row>
    <row r="133" spans="1:20" s="1" customFormat="1" x14ac:dyDescent="0.35">
      <c r="A133" s="188"/>
      <c r="B133" s="144"/>
      <c r="C133" s="147"/>
      <c r="D133" s="79" t="s">
        <v>25</v>
      </c>
      <c r="E133" s="149" t="s">
        <v>41</v>
      </c>
      <c r="F133" s="150"/>
      <c r="G133" s="86" t="s">
        <v>42</v>
      </c>
      <c r="H133" s="87" t="s">
        <v>43</v>
      </c>
      <c r="I133" s="34">
        <v>2500</v>
      </c>
      <c r="J133" s="66">
        <f t="shared" si="35"/>
        <v>2500</v>
      </c>
      <c r="K133" s="65" t="str">
        <f t="shared" si="33"/>
        <v>Não</v>
      </c>
      <c r="L133" s="23" t="str">
        <f t="shared" si="34"/>
        <v/>
      </c>
      <c r="M133" s="201"/>
      <c r="N133" s="185"/>
      <c r="P133" s="201"/>
      <c r="Q133" s="185"/>
      <c r="S133" s="201"/>
      <c r="T133" s="185"/>
    </row>
    <row r="134" spans="1:20" s="1" customFormat="1" x14ac:dyDescent="0.35">
      <c r="A134" s="141"/>
      <c r="B134" s="144"/>
      <c r="C134" s="147"/>
      <c r="D134" s="79" t="s">
        <v>32</v>
      </c>
      <c r="E134" s="149" t="s">
        <v>33</v>
      </c>
      <c r="F134" s="150"/>
      <c r="G134" s="86" t="s">
        <v>34</v>
      </c>
      <c r="H134" s="87" t="s">
        <v>35</v>
      </c>
      <c r="I134" s="54">
        <v>14997.39</v>
      </c>
      <c r="J134" s="66">
        <f t="shared" si="35"/>
        <v>14997.39</v>
      </c>
      <c r="K134" s="65" t="str">
        <f t="shared" si="33"/>
        <v>Sim</v>
      </c>
      <c r="L134" s="23">
        <f t="shared" si="34"/>
        <v>14997.39</v>
      </c>
      <c r="M134" s="201"/>
      <c r="N134" s="185"/>
      <c r="P134" s="201"/>
      <c r="Q134" s="185"/>
      <c r="S134" s="201"/>
      <c r="T134" s="185"/>
    </row>
    <row r="135" spans="1:20" s="1" customFormat="1" x14ac:dyDescent="0.35">
      <c r="A135" s="141"/>
      <c r="B135" s="144"/>
      <c r="C135" s="147"/>
      <c r="D135" s="83" t="s">
        <v>32</v>
      </c>
      <c r="E135" s="225" t="s">
        <v>59</v>
      </c>
      <c r="F135" s="226"/>
      <c r="G135" s="84" t="s">
        <v>60</v>
      </c>
      <c r="H135" s="85" t="s">
        <v>61</v>
      </c>
      <c r="I135" s="110">
        <v>24000</v>
      </c>
      <c r="J135" s="40">
        <f t="shared" si="35"/>
        <v>24000</v>
      </c>
      <c r="K135" s="41" t="str">
        <f t="shared" si="33"/>
        <v>Não</v>
      </c>
      <c r="L135" s="42" t="str">
        <f t="shared" si="34"/>
        <v/>
      </c>
      <c r="M135" s="201"/>
      <c r="N135" s="185"/>
      <c r="P135" s="201"/>
      <c r="Q135" s="185"/>
      <c r="S135" s="201"/>
      <c r="T135" s="185"/>
    </row>
    <row r="136" spans="1:20" s="1" customFormat="1" x14ac:dyDescent="0.35">
      <c r="A136" s="142"/>
      <c r="B136" s="145"/>
      <c r="C136" s="148"/>
      <c r="D136" s="80" t="s">
        <v>25</v>
      </c>
      <c r="E136" s="151" t="s">
        <v>29</v>
      </c>
      <c r="F136" s="152"/>
      <c r="G136" s="81" t="s">
        <v>30</v>
      </c>
      <c r="H136" s="82" t="s">
        <v>31</v>
      </c>
      <c r="I136" s="28">
        <v>19537.009999999998</v>
      </c>
      <c r="J136" s="29">
        <f t="shared" si="35"/>
        <v>19537.009999999998</v>
      </c>
      <c r="K136" s="7" t="str">
        <f t="shared" si="33"/>
        <v>Sim</v>
      </c>
      <c r="L136" s="30">
        <f t="shared" si="34"/>
        <v>19537.009999999998</v>
      </c>
      <c r="M136" s="202"/>
      <c r="N136" s="186"/>
      <c r="P136" s="202"/>
      <c r="Q136" s="186"/>
      <c r="S136" s="202"/>
      <c r="T136" s="186"/>
    </row>
    <row r="137" spans="1:20" ht="4.5" customHeight="1" x14ac:dyDescent="0.35">
      <c r="A137" s="8"/>
      <c r="B137" s="8"/>
      <c r="C137" s="31"/>
      <c r="D137" s="67"/>
      <c r="E137" s="67"/>
      <c r="F137" s="67"/>
      <c r="G137" s="47"/>
      <c r="H137" s="48"/>
      <c r="I137" s="69"/>
      <c r="J137" s="70"/>
      <c r="K137" s="9"/>
      <c r="L137" s="9"/>
      <c r="M137" s="46"/>
      <c r="N137" s="10"/>
      <c r="P137" s="46"/>
      <c r="Q137" s="10"/>
      <c r="S137" s="46"/>
      <c r="T137" s="10"/>
    </row>
    <row r="138" spans="1:20" s="62" customFormat="1" ht="15.5" x14ac:dyDescent="0.35">
      <c r="A138" s="61"/>
      <c r="B138" s="61"/>
      <c r="D138" s="63"/>
      <c r="E138" s="74"/>
      <c r="F138" s="74"/>
      <c r="G138" s="189" t="s">
        <v>64</v>
      </c>
      <c r="H138" s="190"/>
      <c r="I138" s="190"/>
      <c r="J138" s="190"/>
      <c r="K138" s="190"/>
      <c r="L138" s="190"/>
      <c r="M138" s="180">
        <f>SUM(N8:N136)</f>
        <v>15111775.672000004</v>
      </c>
      <c r="N138" s="181"/>
      <c r="O138" s="64"/>
      <c r="P138" s="180">
        <f>SUM(Q8:Q136)</f>
        <v>9201936.0800000001</v>
      </c>
      <c r="Q138" s="181"/>
      <c r="R138" s="64"/>
      <c r="S138" s="180">
        <f>SUM(T8:T136)</f>
        <v>6648086</v>
      </c>
      <c r="T138" s="181"/>
    </row>
    <row r="141" spans="1:20" x14ac:dyDescent="0.35">
      <c r="P141" s="173"/>
      <c r="Q141" s="173"/>
    </row>
  </sheetData>
  <mergeCells count="385">
    <mergeCell ref="E102:F102"/>
    <mergeCell ref="F16:H17"/>
    <mergeCell ref="F15:H15"/>
    <mergeCell ref="F115:H115"/>
    <mergeCell ref="E24:F24"/>
    <mergeCell ref="F26:H26"/>
    <mergeCell ref="A26:E26"/>
    <mergeCell ref="E31:F31"/>
    <mergeCell ref="E42:F42"/>
    <mergeCell ref="F82:H82"/>
    <mergeCell ref="A41:A46"/>
    <mergeCell ref="E75:F75"/>
    <mergeCell ref="A75:A80"/>
    <mergeCell ref="E74:F74"/>
    <mergeCell ref="E64:F64"/>
    <mergeCell ref="A64:A69"/>
    <mergeCell ref="C75:C80"/>
    <mergeCell ref="F48:H48"/>
    <mergeCell ref="C41:C46"/>
    <mergeCell ref="E40:F40"/>
    <mergeCell ref="E34:F34"/>
    <mergeCell ref="E10:F10"/>
    <mergeCell ref="E21:F21"/>
    <mergeCell ref="E44:F44"/>
    <mergeCell ref="E55:F55"/>
    <mergeCell ref="F27:H28"/>
    <mergeCell ref="E29:F29"/>
    <mergeCell ref="B41:B46"/>
    <mergeCell ref="I37:L37"/>
    <mergeCell ref="E30:F30"/>
    <mergeCell ref="I38:L39"/>
    <mergeCell ref="E45:F45"/>
    <mergeCell ref="E35:F35"/>
    <mergeCell ref="F37:H37"/>
    <mergeCell ref="E46:F46"/>
    <mergeCell ref="B30:B35"/>
    <mergeCell ref="C30:C35"/>
    <mergeCell ref="E54:F54"/>
    <mergeCell ref="S106:T106"/>
    <mergeCell ref="S105:T105"/>
    <mergeCell ref="M106:N106"/>
    <mergeCell ref="S104:T104"/>
    <mergeCell ref="M105:N105"/>
    <mergeCell ref="P104:Q104"/>
    <mergeCell ref="P105:Q105"/>
    <mergeCell ref="P106:Q106"/>
    <mergeCell ref="T97:T102"/>
    <mergeCell ref="S97:S102"/>
    <mergeCell ref="Q97:Q102"/>
    <mergeCell ref="E101:F101"/>
    <mergeCell ref="E100:F100"/>
    <mergeCell ref="E99:F99"/>
    <mergeCell ref="P93:Q93"/>
    <mergeCell ref="S93:T93"/>
    <mergeCell ref="A94:E95"/>
    <mergeCell ref="I94:L95"/>
    <mergeCell ref="M94:N94"/>
    <mergeCell ref="S83:T83"/>
    <mergeCell ref="M83:N83"/>
    <mergeCell ref="I83:L84"/>
    <mergeCell ref="I93:L93"/>
    <mergeCell ref="S126:T126"/>
    <mergeCell ref="S127:T127"/>
    <mergeCell ref="S119:S124"/>
    <mergeCell ref="T119:T124"/>
    <mergeCell ref="E118:F118"/>
    <mergeCell ref="Q119:Q124"/>
    <mergeCell ref="M119:M124"/>
    <mergeCell ref="T108:T113"/>
    <mergeCell ref="P115:Q115"/>
    <mergeCell ref="S115:T115"/>
    <mergeCell ref="E111:F111"/>
    <mergeCell ref="E122:F122"/>
    <mergeCell ref="S116:T116"/>
    <mergeCell ref="P117:Q117"/>
    <mergeCell ref="M116:N116"/>
    <mergeCell ref="E112:F112"/>
    <mergeCell ref="I116:L117"/>
    <mergeCell ref="A116:E117"/>
    <mergeCell ref="P130:P136"/>
    <mergeCell ref="Q130:Q136"/>
    <mergeCell ref="P97:P102"/>
    <mergeCell ref="M97:M102"/>
    <mergeCell ref="P95:Q95"/>
    <mergeCell ref="E131:F131"/>
    <mergeCell ref="S130:S136"/>
    <mergeCell ref="T130:T136"/>
    <mergeCell ref="E129:F129"/>
    <mergeCell ref="P126:Q126"/>
    <mergeCell ref="P128:Q128"/>
    <mergeCell ref="P127:Q127"/>
    <mergeCell ref="Q108:Q113"/>
    <mergeCell ref="S108:S113"/>
    <mergeCell ref="P116:Q116"/>
    <mergeCell ref="P119:P124"/>
    <mergeCell ref="P108:P113"/>
    <mergeCell ref="I105:L106"/>
    <mergeCell ref="E107:F107"/>
    <mergeCell ref="M108:M113"/>
    <mergeCell ref="E109:F109"/>
    <mergeCell ref="S117:T117"/>
    <mergeCell ref="M117:N117"/>
    <mergeCell ref="S128:T128"/>
    <mergeCell ref="M130:M136"/>
    <mergeCell ref="E136:F136"/>
    <mergeCell ref="E130:F130"/>
    <mergeCell ref="E123:F123"/>
    <mergeCell ref="E135:F135"/>
    <mergeCell ref="M126:N126"/>
    <mergeCell ref="F126:H126"/>
    <mergeCell ref="A127:E128"/>
    <mergeCell ref="I127:L128"/>
    <mergeCell ref="M127:N127"/>
    <mergeCell ref="N119:N124"/>
    <mergeCell ref="A119:A124"/>
    <mergeCell ref="B119:B124"/>
    <mergeCell ref="C119:C124"/>
    <mergeCell ref="E120:F120"/>
    <mergeCell ref="E124:F124"/>
    <mergeCell ref="E119:F119"/>
    <mergeCell ref="N130:N136"/>
    <mergeCell ref="M128:N128"/>
    <mergeCell ref="A126:E126"/>
    <mergeCell ref="I126:L126"/>
    <mergeCell ref="E134:F134"/>
    <mergeCell ref="E133:F133"/>
    <mergeCell ref="P94:Q94"/>
    <mergeCell ref="S94:T94"/>
    <mergeCell ref="M95:N95"/>
    <mergeCell ref="A93:E93"/>
    <mergeCell ref="S95:T95"/>
    <mergeCell ref="M93:N93"/>
    <mergeCell ref="E96:F96"/>
    <mergeCell ref="F94:H95"/>
    <mergeCell ref="F93:H93"/>
    <mergeCell ref="T86:T91"/>
    <mergeCell ref="E90:F90"/>
    <mergeCell ref="E91:F91"/>
    <mergeCell ref="E86:F86"/>
    <mergeCell ref="M86:M91"/>
    <mergeCell ref="N86:N91"/>
    <mergeCell ref="P86:P91"/>
    <mergeCell ref="Q86:Q91"/>
    <mergeCell ref="S86:S91"/>
    <mergeCell ref="E89:F89"/>
    <mergeCell ref="E87:F87"/>
    <mergeCell ref="P84:Q84"/>
    <mergeCell ref="S84:T84"/>
    <mergeCell ref="E85:F85"/>
    <mergeCell ref="A82:E82"/>
    <mergeCell ref="I82:L82"/>
    <mergeCell ref="M82:N82"/>
    <mergeCell ref="P82:Q82"/>
    <mergeCell ref="S82:T82"/>
    <mergeCell ref="F83:H84"/>
    <mergeCell ref="P83:Q83"/>
    <mergeCell ref="A83:E84"/>
    <mergeCell ref="T75:T80"/>
    <mergeCell ref="E80:F80"/>
    <mergeCell ref="S75:S80"/>
    <mergeCell ref="P75:P80"/>
    <mergeCell ref="Q75:Q80"/>
    <mergeCell ref="S71:T71"/>
    <mergeCell ref="A72:E73"/>
    <mergeCell ref="I72:L73"/>
    <mergeCell ref="M72:N72"/>
    <mergeCell ref="P72:Q72"/>
    <mergeCell ref="S72:T72"/>
    <mergeCell ref="S73:T73"/>
    <mergeCell ref="A71:E71"/>
    <mergeCell ref="P73:Q73"/>
    <mergeCell ref="M75:M80"/>
    <mergeCell ref="E79:F79"/>
    <mergeCell ref="B75:B80"/>
    <mergeCell ref="F71:H71"/>
    <mergeCell ref="I71:L71"/>
    <mergeCell ref="P71:Q71"/>
    <mergeCell ref="S64:S69"/>
    <mergeCell ref="T64:T69"/>
    <mergeCell ref="E69:F69"/>
    <mergeCell ref="E68:F68"/>
    <mergeCell ref="N64:N69"/>
    <mergeCell ref="P64:P69"/>
    <mergeCell ref="P60:Q60"/>
    <mergeCell ref="E63:F63"/>
    <mergeCell ref="A61:E62"/>
    <mergeCell ref="I61:L62"/>
    <mergeCell ref="F61:H62"/>
    <mergeCell ref="I60:L60"/>
    <mergeCell ref="S61:T61"/>
    <mergeCell ref="M62:N62"/>
    <mergeCell ref="P62:Q62"/>
    <mergeCell ref="S62:T62"/>
    <mergeCell ref="S60:T60"/>
    <mergeCell ref="P61:Q61"/>
    <mergeCell ref="M60:N60"/>
    <mergeCell ref="E41:F41"/>
    <mergeCell ref="Q41:Q46"/>
    <mergeCell ref="F49:H50"/>
    <mergeCell ref="I48:L48"/>
    <mergeCell ref="N52:N58"/>
    <mergeCell ref="P52:P58"/>
    <mergeCell ref="Q52:Q58"/>
    <mergeCell ref="S41:S46"/>
    <mergeCell ref="T41:T46"/>
    <mergeCell ref="T52:T58"/>
    <mergeCell ref="M52:M58"/>
    <mergeCell ref="A49:E50"/>
    <mergeCell ref="I49:L50"/>
    <mergeCell ref="B52:B58"/>
    <mergeCell ref="S49:T49"/>
    <mergeCell ref="M50:N50"/>
    <mergeCell ref="S52:S58"/>
    <mergeCell ref="E52:F52"/>
    <mergeCell ref="E56:F56"/>
    <mergeCell ref="S50:T50"/>
    <mergeCell ref="E51:F51"/>
    <mergeCell ref="C52:C58"/>
    <mergeCell ref="E53:F53"/>
    <mergeCell ref="E58:F58"/>
    <mergeCell ref="N41:N46"/>
    <mergeCell ref="P41:P46"/>
    <mergeCell ref="M48:N48"/>
    <mergeCell ref="P48:Q48"/>
    <mergeCell ref="S48:T48"/>
    <mergeCell ref="M41:M46"/>
    <mergeCell ref="P39:Q39"/>
    <mergeCell ref="S39:T39"/>
    <mergeCell ref="S30:S35"/>
    <mergeCell ref="S37:T37"/>
    <mergeCell ref="P38:Q38"/>
    <mergeCell ref="S38:T38"/>
    <mergeCell ref="M39:N39"/>
    <mergeCell ref="M38:N38"/>
    <mergeCell ref="F38:H39"/>
    <mergeCell ref="M30:M35"/>
    <mergeCell ref="N30:N35"/>
    <mergeCell ref="I27:L28"/>
    <mergeCell ref="M27:N27"/>
    <mergeCell ref="P27:Q27"/>
    <mergeCell ref="S27:T27"/>
    <mergeCell ref="M28:N28"/>
    <mergeCell ref="P28:Q28"/>
    <mergeCell ref="T30:T35"/>
    <mergeCell ref="M37:N37"/>
    <mergeCell ref="P37:Q37"/>
    <mergeCell ref="E32:F32"/>
    <mergeCell ref="M19:M24"/>
    <mergeCell ref="S28:T28"/>
    <mergeCell ref="P30:P35"/>
    <mergeCell ref="Q30:Q35"/>
    <mergeCell ref="S15:T15"/>
    <mergeCell ref="P16:Q16"/>
    <mergeCell ref="P26:Q26"/>
    <mergeCell ref="S26:T26"/>
    <mergeCell ref="N19:N24"/>
    <mergeCell ref="P19:P24"/>
    <mergeCell ref="Q19:Q24"/>
    <mergeCell ref="T19:T24"/>
    <mergeCell ref="M15:N15"/>
    <mergeCell ref="S16:T16"/>
    <mergeCell ref="P17:Q17"/>
    <mergeCell ref="M16:N16"/>
    <mergeCell ref="S19:S24"/>
    <mergeCell ref="M26:N26"/>
    <mergeCell ref="I16:L17"/>
    <mergeCell ref="S17:T17"/>
    <mergeCell ref="M17:N17"/>
    <mergeCell ref="P15:Q15"/>
    <mergeCell ref="P4:Q4"/>
    <mergeCell ref="E7:F7"/>
    <mergeCell ref="I104:L104"/>
    <mergeCell ref="M104:N104"/>
    <mergeCell ref="A60:E60"/>
    <mergeCell ref="I26:L26"/>
    <mergeCell ref="A15:E15"/>
    <mergeCell ref="I15:L15"/>
    <mergeCell ref="M61:N61"/>
    <mergeCell ref="Q64:Q69"/>
    <mergeCell ref="M4:N4"/>
    <mergeCell ref="B8:B13"/>
    <mergeCell ref="C8:C13"/>
    <mergeCell ref="E8:F8"/>
    <mergeCell ref="E9:F9"/>
    <mergeCell ref="B19:B24"/>
    <mergeCell ref="M64:M69"/>
    <mergeCell ref="F60:H60"/>
    <mergeCell ref="A16:E17"/>
    <mergeCell ref="S8:S13"/>
    <mergeCell ref="P8:P13"/>
    <mergeCell ref="M6:N6"/>
    <mergeCell ref="Q8:Q13"/>
    <mergeCell ref="M5:N5"/>
    <mergeCell ref="M8:M13"/>
    <mergeCell ref="N8:N13"/>
    <mergeCell ref="S5:T5"/>
    <mergeCell ref="A1:E2"/>
    <mergeCell ref="A4:E4"/>
    <mergeCell ref="I4:L4"/>
    <mergeCell ref="F4:H4"/>
    <mergeCell ref="A5:E6"/>
    <mergeCell ref="I5:L6"/>
    <mergeCell ref="F5:H6"/>
    <mergeCell ref="M1:T1"/>
    <mergeCell ref="P6:Q6"/>
    <mergeCell ref="S6:T6"/>
    <mergeCell ref="T8:T13"/>
    <mergeCell ref="M2:N2"/>
    <mergeCell ref="F1:L2"/>
    <mergeCell ref="P2:Q2"/>
    <mergeCell ref="S2:T2"/>
    <mergeCell ref="P5:Q5"/>
    <mergeCell ref="S4:T4"/>
    <mergeCell ref="S138:T138"/>
    <mergeCell ref="M138:N138"/>
    <mergeCell ref="G138:L138"/>
    <mergeCell ref="E18:F18"/>
    <mergeCell ref="A37:E37"/>
    <mergeCell ref="A38:E39"/>
    <mergeCell ref="P49:Q49"/>
    <mergeCell ref="M49:N49"/>
    <mergeCell ref="P50:Q50"/>
    <mergeCell ref="E108:F108"/>
    <mergeCell ref="N75:N80"/>
    <mergeCell ref="B64:B69"/>
    <mergeCell ref="E76:F76"/>
    <mergeCell ref="F72:H73"/>
    <mergeCell ref="E65:F65"/>
    <mergeCell ref="M71:N71"/>
    <mergeCell ref="E67:F67"/>
    <mergeCell ref="E78:F78"/>
    <mergeCell ref="M115:N115"/>
    <mergeCell ref="I115:L115"/>
    <mergeCell ref="N108:N113"/>
    <mergeCell ref="E113:F113"/>
    <mergeCell ref="M73:N73"/>
    <mergeCell ref="M84:N84"/>
    <mergeCell ref="B108:B113"/>
    <mergeCell ref="E97:F97"/>
    <mergeCell ref="A97:A102"/>
    <mergeCell ref="E98:F98"/>
    <mergeCell ref="P141:Q141"/>
    <mergeCell ref="A105:E106"/>
    <mergeCell ref="F127:H128"/>
    <mergeCell ref="F116:H117"/>
    <mergeCell ref="P138:Q138"/>
    <mergeCell ref="A115:E115"/>
    <mergeCell ref="B97:B102"/>
    <mergeCell ref="C108:C113"/>
    <mergeCell ref="A104:E104"/>
    <mergeCell ref="F105:H106"/>
    <mergeCell ref="C97:C102"/>
    <mergeCell ref="A108:A113"/>
    <mergeCell ref="F104:H104"/>
    <mergeCell ref="E110:F110"/>
    <mergeCell ref="E121:F121"/>
    <mergeCell ref="E132:F132"/>
    <mergeCell ref="N97:N102"/>
    <mergeCell ref="A130:A136"/>
    <mergeCell ref="B130:B136"/>
    <mergeCell ref="C130:C136"/>
    <mergeCell ref="A86:A91"/>
    <mergeCell ref="B86:B91"/>
    <mergeCell ref="C86:C91"/>
    <mergeCell ref="E77:F77"/>
    <mergeCell ref="E88:F88"/>
    <mergeCell ref="E13:F13"/>
    <mergeCell ref="A48:E48"/>
    <mergeCell ref="C64:C69"/>
    <mergeCell ref="A8:A13"/>
    <mergeCell ref="A19:A24"/>
    <mergeCell ref="A52:A58"/>
    <mergeCell ref="A27:E28"/>
    <mergeCell ref="E12:F12"/>
    <mergeCell ref="E23:F23"/>
    <mergeCell ref="A30:A35"/>
    <mergeCell ref="E11:F11"/>
    <mergeCell ref="E22:F22"/>
    <mergeCell ref="E33:F33"/>
    <mergeCell ref="E43:F43"/>
    <mergeCell ref="E57:F57"/>
    <mergeCell ref="E66:F66"/>
    <mergeCell ref="E20:F20"/>
    <mergeCell ref="C19:C24"/>
    <mergeCell ref="E19:F19"/>
  </mergeCells>
  <pageMargins left="0.511811024" right="0.511811024" top="0.78740157499999996" bottom="0.78740157499999996" header="0.31496062000000002" footer="0.31496062000000002"/>
  <pageSetup paperSize="9" scale="73" fitToHeight="0" orientation="landscape" r:id="rId1"/>
  <headerFooter>
    <oddFooter>&amp;L&amp;"-,Itálico"&amp;8Documento elaborador por Angye Michelly Gabriel Brandão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5A13F-8829-4F40-A4F9-F38063EA8977}">
  <sheetPr>
    <pageSetUpPr fitToPage="1"/>
  </sheetPr>
  <dimension ref="A1:I50"/>
  <sheetViews>
    <sheetView zoomScale="80" zoomScaleNormal="80" workbookViewId="0"/>
  </sheetViews>
  <sheetFormatPr defaultRowHeight="14.5" x14ac:dyDescent="0.35"/>
  <cols>
    <col min="1" max="1" width="19.54296875" bestFit="1" customWidth="1"/>
    <col min="2" max="2" width="57.36328125" bestFit="1" customWidth="1"/>
    <col min="3" max="3" width="47.90625" bestFit="1" customWidth="1"/>
    <col min="4" max="4" width="15.90625" bestFit="1" customWidth="1"/>
    <col min="5" max="5" width="18.6328125" customWidth="1"/>
    <col min="6" max="6" width="22" customWidth="1"/>
    <col min="7" max="7" width="34.6328125" customWidth="1"/>
    <col min="8" max="8" width="21" customWidth="1"/>
    <col min="9" max="9" width="18.54296875" customWidth="1"/>
  </cols>
  <sheetData>
    <row r="1" spans="1:8" x14ac:dyDescent="0.35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  <c r="H1" t="s">
        <v>72</v>
      </c>
    </row>
    <row r="2" spans="1:8" x14ac:dyDescent="0.35">
      <c r="A2" s="112" t="s">
        <v>73</v>
      </c>
      <c r="B2" s="112" t="s">
        <v>9</v>
      </c>
      <c r="C2" s="112" t="s">
        <v>74</v>
      </c>
      <c r="D2" s="112" t="s">
        <v>75</v>
      </c>
      <c r="E2" s="112">
        <v>1</v>
      </c>
      <c r="F2" s="113">
        <v>40529.86</v>
      </c>
      <c r="G2" s="114">
        <f t="shared" ref="G2:G7" si="0">E2*F2</f>
        <v>40529.86</v>
      </c>
      <c r="H2" s="114">
        <f>G2*24</f>
        <v>972716.64</v>
      </c>
    </row>
    <row r="3" spans="1:8" x14ac:dyDescent="0.35">
      <c r="A3" s="112" t="s">
        <v>73</v>
      </c>
      <c r="B3" s="112" t="s">
        <v>44</v>
      </c>
      <c r="C3" s="112" t="s">
        <v>76</v>
      </c>
      <c r="D3" s="112" t="s">
        <v>75</v>
      </c>
      <c r="E3" s="112">
        <v>0.5</v>
      </c>
      <c r="F3" s="113">
        <v>23242.76</v>
      </c>
      <c r="G3" s="114">
        <f t="shared" si="0"/>
        <v>11621.38</v>
      </c>
      <c r="H3" s="114">
        <f t="shared" ref="H3:H14" si="1">G3*24</f>
        <v>278913.12</v>
      </c>
    </row>
    <row r="4" spans="1:8" x14ac:dyDescent="0.35">
      <c r="A4" s="112" t="s">
        <v>73</v>
      </c>
      <c r="B4" s="112" t="s">
        <v>44</v>
      </c>
      <c r="C4" s="112" t="s">
        <v>77</v>
      </c>
      <c r="D4" s="112" t="s">
        <v>78</v>
      </c>
      <c r="E4" s="112">
        <v>0.5</v>
      </c>
      <c r="F4" s="113">
        <v>15867.12</v>
      </c>
      <c r="G4" s="114">
        <f t="shared" si="0"/>
        <v>7933.56</v>
      </c>
      <c r="H4" s="114">
        <f t="shared" si="1"/>
        <v>190405.44</v>
      </c>
    </row>
    <row r="5" spans="1:8" x14ac:dyDescent="0.35">
      <c r="A5" s="112" t="s">
        <v>73</v>
      </c>
      <c r="B5" s="112" t="s">
        <v>45</v>
      </c>
      <c r="C5" s="112" t="s">
        <v>76</v>
      </c>
      <c r="D5" s="112" t="s">
        <v>75</v>
      </c>
      <c r="E5" s="112">
        <v>0.5</v>
      </c>
      <c r="F5" s="113">
        <v>23242.76</v>
      </c>
      <c r="G5" s="114">
        <f t="shared" si="0"/>
        <v>11621.38</v>
      </c>
      <c r="H5" s="114">
        <f t="shared" si="1"/>
        <v>278913.12</v>
      </c>
    </row>
    <row r="6" spans="1:8" x14ac:dyDescent="0.35">
      <c r="A6" s="112" t="s">
        <v>73</v>
      </c>
      <c r="B6" s="112" t="s">
        <v>45</v>
      </c>
      <c r="C6" s="112" t="s">
        <v>77</v>
      </c>
      <c r="D6" s="112" t="s">
        <v>78</v>
      </c>
      <c r="E6" s="112">
        <v>0.5</v>
      </c>
      <c r="F6" s="113">
        <v>15867.12</v>
      </c>
      <c r="G6" s="114">
        <f t="shared" si="0"/>
        <v>7933.56</v>
      </c>
      <c r="H6" s="114">
        <f t="shared" si="1"/>
        <v>190405.44</v>
      </c>
    </row>
    <row r="7" spans="1:8" x14ac:dyDescent="0.35">
      <c r="A7" s="128" t="s">
        <v>73</v>
      </c>
      <c r="B7" s="128" t="s">
        <v>79</v>
      </c>
      <c r="C7" s="128" t="s">
        <v>76</v>
      </c>
      <c r="D7" s="128" t="s">
        <v>75</v>
      </c>
      <c r="E7" s="112">
        <v>0.5</v>
      </c>
      <c r="F7" s="113">
        <f>G31</f>
        <v>23242.76</v>
      </c>
      <c r="G7" s="114">
        <f t="shared" si="0"/>
        <v>11621.38</v>
      </c>
      <c r="H7" s="114">
        <f t="shared" si="1"/>
        <v>278913.12</v>
      </c>
    </row>
    <row r="8" spans="1:8" x14ac:dyDescent="0.35">
      <c r="A8" s="128" t="s">
        <v>73</v>
      </c>
      <c r="B8" s="128" t="s">
        <v>79</v>
      </c>
      <c r="C8" s="128" t="s">
        <v>77</v>
      </c>
      <c r="D8" s="128" t="s">
        <v>78</v>
      </c>
      <c r="E8" s="112">
        <v>1</v>
      </c>
      <c r="F8" s="113">
        <f>G30</f>
        <v>15867.12</v>
      </c>
      <c r="G8" s="114">
        <f t="shared" ref="G8:G14" si="2">E8*F8</f>
        <v>15867.12</v>
      </c>
      <c r="H8" s="114">
        <f t="shared" si="1"/>
        <v>380810.88</v>
      </c>
    </row>
    <row r="9" spans="1:8" x14ac:dyDescent="0.35">
      <c r="A9" s="128" t="s">
        <v>73</v>
      </c>
      <c r="B9" s="128" t="s">
        <v>46</v>
      </c>
      <c r="C9" s="128" t="s">
        <v>76</v>
      </c>
      <c r="D9" s="128" t="s">
        <v>75</v>
      </c>
      <c r="E9" s="112">
        <v>0.5</v>
      </c>
      <c r="F9" s="113">
        <f>G31</f>
        <v>23242.76</v>
      </c>
      <c r="G9" s="114">
        <f t="shared" si="2"/>
        <v>11621.38</v>
      </c>
      <c r="H9" s="114">
        <f t="shared" si="1"/>
        <v>278913.12</v>
      </c>
    </row>
    <row r="10" spans="1:8" x14ac:dyDescent="0.35">
      <c r="A10" s="128" t="s">
        <v>73</v>
      </c>
      <c r="B10" s="128" t="s">
        <v>46</v>
      </c>
      <c r="C10" s="128" t="s">
        <v>77</v>
      </c>
      <c r="D10" s="128" t="s">
        <v>78</v>
      </c>
      <c r="E10" s="112">
        <v>2.2000000000000002</v>
      </c>
      <c r="F10" s="113">
        <f>G30</f>
        <v>15867.12</v>
      </c>
      <c r="G10" s="114">
        <f t="shared" si="2"/>
        <v>34907.664000000004</v>
      </c>
      <c r="H10" s="114">
        <f t="shared" si="1"/>
        <v>837783.9360000001</v>
      </c>
    </row>
    <row r="11" spans="1:8" x14ac:dyDescent="0.35">
      <c r="A11" s="128" t="s">
        <v>73</v>
      </c>
      <c r="B11" s="128" t="s">
        <v>56</v>
      </c>
      <c r="C11" s="128" t="s">
        <v>76</v>
      </c>
      <c r="D11" s="128" t="s">
        <v>75</v>
      </c>
      <c r="E11" s="112">
        <v>0.5</v>
      </c>
      <c r="F11" s="113">
        <f>G31</f>
        <v>23242.76</v>
      </c>
      <c r="G11" s="114">
        <f t="shared" si="2"/>
        <v>11621.38</v>
      </c>
      <c r="H11" s="114">
        <f t="shared" si="1"/>
        <v>278913.12</v>
      </c>
    </row>
    <row r="12" spans="1:8" x14ac:dyDescent="0.35">
      <c r="A12" s="128" t="s">
        <v>73</v>
      </c>
      <c r="B12" s="128" t="s">
        <v>56</v>
      </c>
      <c r="C12" s="128" t="s">
        <v>77</v>
      </c>
      <c r="D12" s="128" t="s">
        <v>78</v>
      </c>
      <c r="E12" s="112">
        <v>1</v>
      </c>
      <c r="F12" s="113">
        <f>G30</f>
        <v>15867.12</v>
      </c>
      <c r="G12" s="114">
        <f t="shared" si="2"/>
        <v>15867.12</v>
      </c>
      <c r="H12" s="114">
        <f t="shared" si="1"/>
        <v>380810.88</v>
      </c>
    </row>
    <row r="13" spans="1:8" x14ac:dyDescent="0.35">
      <c r="A13" s="128" t="s">
        <v>73</v>
      </c>
      <c r="B13" s="128" t="s">
        <v>57</v>
      </c>
      <c r="C13" s="128" t="s">
        <v>76</v>
      </c>
      <c r="D13" s="128" t="s">
        <v>75</v>
      </c>
      <c r="E13" s="112">
        <v>0.5</v>
      </c>
      <c r="F13" s="113">
        <f>G31</f>
        <v>23242.76</v>
      </c>
      <c r="G13" s="114">
        <f t="shared" si="2"/>
        <v>11621.38</v>
      </c>
      <c r="H13" s="114">
        <f t="shared" si="1"/>
        <v>278913.12</v>
      </c>
    </row>
    <row r="14" spans="1:8" x14ac:dyDescent="0.35">
      <c r="A14" s="128" t="s">
        <v>73</v>
      </c>
      <c r="B14" s="128" t="s">
        <v>57</v>
      </c>
      <c r="C14" s="128" t="s">
        <v>77</v>
      </c>
      <c r="D14" s="128"/>
      <c r="E14" s="112">
        <v>1</v>
      </c>
      <c r="F14" s="113">
        <v>15867.12</v>
      </c>
      <c r="G14" s="114">
        <f t="shared" si="2"/>
        <v>15867.12</v>
      </c>
      <c r="H14" s="114">
        <f t="shared" si="1"/>
        <v>380810.88</v>
      </c>
    </row>
    <row r="15" spans="1:8" x14ac:dyDescent="0.35">
      <c r="A15" s="115" t="s">
        <v>80</v>
      </c>
      <c r="B15" s="115"/>
      <c r="C15" s="115"/>
      <c r="D15" s="115"/>
      <c r="E15" s="112">
        <f>SUM(E2:E14)</f>
        <v>10.199999999999999</v>
      </c>
      <c r="F15" s="112"/>
      <c r="G15" s="114">
        <f>SUM(G2:G14)</f>
        <v>208634.28399999999</v>
      </c>
      <c r="H15" s="114">
        <f>SUM(H2:H14)</f>
        <v>5007222.8160000006</v>
      </c>
    </row>
    <row r="17" spans="1:9" x14ac:dyDescent="0.35">
      <c r="A17" s="136" t="s">
        <v>81</v>
      </c>
      <c r="B17" s="136" t="s">
        <v>66</v>
      </c>
      <c r="C17" s="136" t="s">
        <v>82</v>
      </c>
      <c r="D17" s="136" t="s">
        <v>83</v>
      </c>
      <c r="E17" s="136" t="s">
        <v>84</v>
      </c>
    </row>
    <row r="18" spans="1:9" x14ac:dyDescent="0.35">
      <c r="A18" s="234" t="s">
        <v>85</v>
      </c>
      <c r="B18" s="131" t="s">
        <v>9</v>
      </c>
      <c r="C18" s="132">
        <f>G2</f>
        <v>40529.86</v>
      </c>
      <c r="D18" s="133">
        <f>C18*12</f>
        <v>486358.32</v>
      </c>
      <c r="E18" s="134">
        <f t="shared" ref="E18:E24" si="3">C18*24</f>
        <v>972716.64</v>
      </c>
      <c r="H18" s="111"/>
    </row>
    <row r="19" spans="1:9" x14ac:dyDescent="0.35">
      <c r="A19" s="234"/>
      <c r="B19" s="131" t="s">
        <v>44</v>
      </c>
      <c r="C19" s="132">
        <f>G3+G4</f>
        <v>19554.939999999999</v>
      </c>
      <c r="D19" s="133">
        <f t="shared" ref="D19:D25" si="4">C19*12</f>
        <v>234659.27999999997</v>
      </c>
      <c r="E19" s="134">
        <f t="shared" si="3"/>
        <v>469318.55999999994</v>
      </c>
      <c r="H19" s="127"/>
      <c r="I19" s="127"/>
    </row>
    <row r="20" spans="1:9" x14ac:dyDescent="0.35">
      <c r="A20" s="234"/>
      <c r="B20" s="131" t="s">
        <v>45</v>
      </c>
      <c r="C20" s="132">
        <f>G5+G6</f>
        <v>19554.939999999999</v>
      </c>
      <c r="D20" s="133">
        <f t="shared" si="4"/>
        <v>234659.27999999997</v>
      </c>
      <c r="E20" s="134">
        <f t="shared" si="3"/>
        <v>469318.55999999994</v>
      </c>
    </row>
    <row r="21" spans="1:9" x14ac:dyDescent="0.35">
      <c r="A21" s="234"/>
      <c r="B21" s="131" t="s">
        <v>79</v>
      </c>
      <c r="C21" s="132">
        <f>G7+G8</f>
        <v>27488.5</v>
      </c>
      <c r="D21" s="133">
        <f t="shared" si="4"/>
        <v>329862</v>
      </c>
      <c r="E21" s="134">
        <f t="shared" si="3"/>
        <v>659724</v>
      </c>
    </row>
    <row r="22" spans="1:9" x14ac:dyDescent="0.35">
      <c r="A22" s="234"/>
      <c r="B22" s="131" t="s">
        <v>46</v>
      </c>
      <c r="C22" s="132">
        <f>G9+G10</f>
        <v>46529.044000000002</v>
      </c>
      <c r="D22" s="133">
        <f t="shared" si="4"/>
        <v>558348.52800000005</v>
      </c>
      <c r="E22" s="134">
        <f t="shared" si="3"/>
        <v>1116697.0560000001</v>
      </c>
    </row>
    <row r="23" spans="1:9" x14ac:dyDescent="0.35">
      <c r="A23" s="234"/>
      <c r="B23" s="131" t="s">
        <v>56</v>
      </c>
      <c r="C23" s="132">
        <f>G11+G12</f>
        <v>27488.5</v>
      </c>
      <c r="D23" s="133">
        <f t="shared" si="4"/>
        <v>329862</v>
      </c>
      <c r="E23" s="134">
        <f t="shared" si="3"/>
        <v>659724</v>
      </c>
    </row>
    <row r="24" spans="1:9" x14ac:dyDescent="0.35">
      <c r="A24" s="234"/>
      <c r="B24" s="131" t="s">
        <v>57</v>
      </c>
      <c r="C24" s="132">
        <f>G13+G14</f>
        <v>27488.5</v>
      </c>
      <c r="D24" s="133">
        <f t="shared" si="4"/>
        <v>329862</v>
      </c>
      <c r="E24" s="134">
        <f t="shared" si="3"/>
        <v>659724</v>
      </c>
    </row>
    <row r="25" spans="1:9" x14ac:dyDescent="0.35">
      <c r="A25" s="235" t="s">
        <v>80</v>
      </c>
      <c r="B25" s="235"/>
      <c r="C25" s="135">
        <f>SUM(C18:C24)</f>
        <v>208634.28400000001</v>
      </c>
      <c r="D25" s="135">
        <f t="shared" si="4"/>
        <v>2503611.4080000003</v>
      </c>
      <c r="E25" s="135">
        <f>SUM(E18:E24)</f>
        <v>5007222.8159999996</v>
      </c>
    </row>
    <row r="26" spans="1:9" ht="15" customHeight="1" x14ac:dyDescent="0.35"/>
    <row r="28" spans="1:9" x14ac:dyDescent="0.35">
      <c r="A28" s="116" t="s">
        <v>86</v>
      </c>
      <c r="B28" s="117" t="s">
        <v>87</v>
      </c>
      <c r="C28" s="117" t="s">
        <v>88</v>
      </c>
      <c r="D28" s="117" t="s">
        <v>68</v>
      </c>
      <c r="E28" s="117" t="s">
        <v>89</v>
      </c>
      <c r="F28" s="117" t="s">
        <v>90</v>
      </c>
      <c r="G28" s="118" t="s">
        <v>91</v>
      </c>
    </row>
    <row r="29" spans="1:9" x14ac:dyDescent="0.35">
      <c r="A29" s="119" t="s">
        <v>92</v>
      </c>
      <c r="B29" s="112" t="s">
        <v>93</v>
      </c>
      <c r="C29" s="112" t="s">
        <v>94</v>
      </c>
      <c r="D29" s="112" t="s">
        <v>95</v>
      </c>
      <c r="E29" s="114">
        <v>5652.78</v>
      </c>
      <c r="F29" s="112">
        <v>2.4900000000000002</v>
      </c>
      <c r="G29" s="120">
        <v>14075.422200000001</v>
      </c>
    </row>
    <row r="30" spans="1:9" x14ac:dyDescent="0.35">
      <c r="A30" s="119" t="s">
        <v>92</v>
      </c>
      <c r="B30" s="112" t="s">
        <v>96</v>
      </c>
      <c r="C30" s="112" t="s">
        <v>77</v>
      </c>
      <c r="D30" s="112" t="s">
        <v>78</v>
      </c>
      <c r="E30" s="114">
        <v>7933.56</v>
      </c>
      <c r="F30" s="112">
        <v>2</v>
      </c>
      <c r="G30" s="120">
        <v>15867.12</v>
      </c>
    </row>
    <row r="31" spans="1:9" x14ac:dyDescent="0.35">
      <c r="A31" s="119" t="s">
        <v>92</v>
      </c>
      <c r="B31" s="112" t="s">
        <v>97</v>
      </c>
      <c r="C31" s="112" t="s">
        <v>76</v>
      </c>
      <c r="D31" s="112" t="s">
        <v>98</v>
      </c>
      <c r="E31" s="114">
        <v>11621.38</v>
      </c>
      <c r="F31" s="112">
        <v>2</v>
      </c>
      <c r="G31" s="120">
        <v>23242.76</v>
      </c>
    </row>
    <row r="32" spans="1:9" x14ac:dyDescent="0.35">
      <c r="A32" s="121" t="s">
        <v>99</v>
      </c>
      <c r="B32" s="122" t="s">
        <v>100</v>
      </c>
      <c r="C32" s="122" t="s">
        <v>74</v>
      </c>
      <c r="D32" s="122" t="s">
        <v>101</v>
      </c>
      <c r="E32" s="123">
        <v>20264.93</v>
      </c>
      <c r="F32" s="122">
        <v>2</v>
      </c>
      <c r="G32" s="124">
        <v>40529.86</v>
      </c>
    </row>
    <row r="50" ht="16.5" customHeight="1" x14ac:dyDescent="0.35"/>
  </sheetData>
  <mergeCells count="2">
    <mergeCell ref="A18:A24"/>
    <mergeCell ref="A25:B25"/>
  </mergeCells>
  <pageMargins left="0.511811024" right="0.511811024" top="0.78740157499999996" bottom="0.78740157499999996" header="0.31496062000000002" footer="0.31496062000000002"/>
  <pageSetup paperSize="9" scale="58" fitToHeight="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43FB2-1B73-4808-A748-1968FE9BC9D5}">
  <sheetPr>
    <pageSetUpPr fitToPage="1"/>
  </sheetPr>
  <dimension ref="A2:K32"/>
  <sheetViews>
    <sheetView tabSelected="1" topLeftCell="C2" workbookViewId="0">
      <selection activeCell="H9" sqref="H9"/>
    </sheetView>
  </sheetViews>
  <sheetFormatPr defaultRowHeight="14.5" x14ac:dyDescent="0.35"/>
  <cols>
    <col min="1" max="1" width="9.81640625" customWidth="1"/>
    <col min="2" max="2" width="12" customWidth="1"/>
    <col min="3" max="3" width="76.26953125" customWidth="1"/>
    <col min="4" max="4" width="13.81640625" bestFit="1" customWidth="1"/>
    <col min="5" max="5" width="12.7265625" bestFit="1" customWidth="1"/>
    <col min="6" max="6" width="15.36328125" bestFit="1" customWidth="1"/>
    <col min="7" max="7" width="27.08984375" customWidth="1"/>
    <col min="8" max="8" width="8.1796875" bestFit="1" customWidth="1"/>
    <col min="9" max="9" width="11.54296875" bestFit="1" customWidth="1"/>
    <col min="10" max="10" width="12.54296875" bestFit="1" customWidth="1"/>
    <col min="11" max="11" width="14.1796875" bestFit="1" customWidth="1"/>
  </cols>
  <sheetData>
    <row r="2" spans="1:11" ht="36.5" customHeight="1" x14ac:dyDescent="0.35">
      <c r="A2" s="2"/>
      <c r="B2" s="2"/>
      <c r="C2" s="238" t="s">
        <v>113</v>
      </c>
      <c r="D2" s="239"/>
      <c r="E2" s="239"/>
      <c r="F2" s="239"/>
      <c r="G2" s="239"/>
      <c r="H2" s="237"/>
      <c r="I2" s="237"/>
    </row>
    <row r="3" spans="1:11" ht="14.5" customHeight="1" x14ac:dyDescent="0.35">
      <c r="A3" s="130" t="s">
        <v>107</v>
      </c>
      <c r="B3" s="130" t="s">
        <v>102</v>
      </c>
      <c r="C3" s="130" t="s">
        <v>110</v>
      </c>
      <c r="D3" s="130" t="s">
        <v>103</v>
      </c>
      <c r="E3" s="130" t="s">
        <v>109</v>
      </c>
      <c r="F3" s="130" t="s">
        <v>104</v>
      </c>
      <c r="G3" s="130" t="s">
        <v>111</v>
      </c>
      <c r="I3" s="137"/>
      <c r="J3" s="137"/>
      <c r="K3" s="137"/>
    </row>
    <row r="4" spans="1:11" x14ac:dyDescent="0.35">
      <c r="A4" s="236">
        <v>1</v>
      </c>
      <c r="B4" s="112">
        <v>1</v>
      </c>
      <c r="C4" s="112" t="s">
        <v>9</v>
      </c>
      <c r="D4" s="114">
        <v>40529.86</v>
      </c>
      <c r="E4" s="114"/>
      <c r="F4" s="114">
        <v>972716.64</v>
      </c>
      <c r="G4" s="240"/>
      <c r="I4" s="137"/>
      <c r="J4" s="137"/>
      <c r="K4" s="137"/>
    </row>
    <row r="5" spans="1:11" x14ac:dyDescent="0.35">
      <c r="A5" s="236"/>
      <c r="B5" s="112">
        <v>2</v>
      </c>
      <c r="C5" s="112" t="s">
        <v>44</v>
      </c>
      <c r="D5" s="114">
        <v>19554.939999999999</v>
      </c>
      <c r="E5" s="114"/>
      <c r="F5" s="114">
        <v>469318.55999999994</v>
      </c>
      <c r="G5" s="241"/>
      <c r="I5" s="137"/>
      <c r="J5" s="137"/>
      <c r="K5" s="137"/>
    </row>
    <row r="6" spans="1:11" x14ac:dyDescent="0.35">
      <c r="A6" s="236"/>
      <c r="B6" s="112">
        <v>3</v>
      </c>
      <c r="C6" s="112" t="s">
        <v>45</v>
      </c>
      <c r="D6" s="114">
        <v>19554.939999999999</v>
      </c>
      <c r="E6" s="114"/>
      <c r="F6" s="114">
        <v>469318.55999999994</v>
      </c>
      <c r="G6" s="241"/>
      <c r="I6" s="137"/>
      <c r="J6" s="137"/>
      <c r="K6" s="137"/>
    </row>
    <row r="7" spans="1:11" x14ac:dyDescent="0.35">
      <c r="A7" s="236"/>
      <c r="B7" s="112">
        <v>4</v>
      </c>
      <c r="C7" s="112" t="s">
        <v>46</v>
      </c>
      <c r="D7" s="114">
        <v>46529.044000000002</v>
      </c>
      <c r="E7" s="114"/>
      <c r="F7" s="114">
        <v>1116697.0560000001</v>
      </c>
      <c r="G7" s="241"/>
      <c r="I7" s="137"/>
      <c r="J7" s="137"/>
      <c r="K7" s="137"/>
    </row>
    <row r="8" spans="1:11" x14ac:dyDescent="0.35">
      <c r="A8" s="236"/>
      <c r="B8" s="112">
        <v>5</v>
      </c>
      <c r="C8" s="112" t="s">
        <v>47</v>
      </c>
      <c r="D8" s="138">
        <v>47158.19</v>
      </c>
      <c r="E8" s="138"/>
      <c r="F8" s="114">
        <v>1131796.56</v>
      </c>
      <c r="G8" s="241"/>
      <c r="I8" s="137"/>
      <c r="J8" s="137"/>
      <c r="K8" s="137"/>
    </row>
    <row r="9" spans="1:11" x14ac:dyDescent="0.35">
      <c r="A9" s="236"/>
      <c r="B9" s="112">
        <v>6</v>
      </c>
      <c r="C9" s="112" t="s">
        <v>105</v>
      </c>
      <c r="D9" s="244">
        <f>F9/24</f>
        <v>3333.3333333333335</v>
      </c>
      <c r="E9" s="244">
        <f>F9/10</f>
        <v>8000</v>
      </c>
      <c r="F9" s="244">
        <v>80000</v>
      </c>
      <c r="G9" s="242" t="s">
        <v>112</v>
      </c>
    </row>
    <row r="10" spans="1:11" x14ac:dyDescent="0.35">
      <c r="A10" s="236"/>
      <c r="B10" s="112">
        <v>7</v>
      </c>
      <c r="C10" s="112" t="s">
        <v>79</v>
      </c>
      <c r="D10" s="114">
        <v>27488.5</v>
      </c>
      <c r="E10" s="114"/>
      <c r="F10" s="114">
        <v>659724</v>
      </c>
      <c r="G10" s="241"/>
    </row>
    <row r="11" spans="1:11" x14ac:dyDescent="0.35">
      <c r="A11" s="236"/>
      <c r="B11" s="112">
        <v>8</v>
      </c>
      <c r="C11" s="112" t="s">
        <v>55</v>
      </c>
      <c r="D11" s="138">
        <v>6000</v>
      </c>
      <c r="E11" s="138"/>
      <c r="F11" s="114">
        <v>144000</v>
      </c>
      <c r="G11" s="241"/>
    </row>
    <row r="12" spans="1:11" x14ac:dyDescent="0.35">
      <c r="A12" s="236"/>
      <c r="B12" s="112">
        <v>9</v>
      </c>
      <c r="C12" s="112" t="s">
        <v>56</v>
      </c>
      <c r="D12" s="114">
        <v>27488.5</v>
      </c>
      <c r="E12" s="114"/>
      <c r="F12" s="114">
        <v>659724</v>
      </c>
      <c r="G12" s="241"/>
    </row>
    <row r="13" spans="1:11" x14ac:dyDescent="0.35">
      <c r="A13" s="236"/>
      <c r="B13" s="112">
        <v>10</v>
      </c>
      <c r="C13" s="112" t="s">
        <v>57</v>
      </c>
      <c r="D13" s="114">
        <v>27488.5</v>
      </c>
      <c r="E13" s="114"/>
      <c r="F13" s="114">
        <v>659724</v>
      </c>
      <c r="G13" s="241"/>
    </row>
    <row r="14" spans="1:11" x14ac:dyDescent="0.35">
      <c r="A14" s="129"/>
      <c r="B14" s="112"/>
      <c r="C14" s="125" t="s">
        <v>108</v>
      </c>
      <c r="D14" s="126">
        <f>SUM(D4:D13)</f>
        <v>265125.80733333336</v>
      </c>
      <c r="E14" s="126"/>
      <c r="F14" s="126">
        <f>SUM(F4:F13)</f>
        <v>6363019.3760000002</v>
      </c>
      <c r="G14" s="241"/>
    </row>
    <row r="15" spans="1:11" x14ac:dyDescent="0.35">
      <c r="A15" s="129">
        <v>2</v>
      </c>
      <c r="B15" s="112">
        <v>11</v>
      </c>
      <c r="C15" s="125" t="s">
        <v>58</v>
      </c>
      <c r="D15" s="126">
        <f>PESQUISA!P119</f>
        <v>32000</v>
      </c>
      <c r="E15" s="126"/>
      <c r="F15" s="126">
        <v>768000</v>
      </c>
      <c r="G15" s="241"/>
    </row>
    <row r="16" spans="1:11" x14ac:dyDescent="0.35">
      <c r="A16" s="129">
        <v>3</v>
      </c>
      <c r="B16" s="112">
        <v>12</v>
      </c>
      <c r="C16" s="125" t="s">
        <v>62</v>
      </c>
      <c r="D16" s="245">
        <v>85577.299999999988</v>
      </c>
      <c r="E16" s="245">
        <f>F16/240</f>
        <v>8557.73</v>
      </c>
      <c r="F16" s="245">
        <v>2053855.1999999997</v>
      </c>
      <c r="G16" s="242" t="s">
        <v>112</v>
      </c>
    </row>
    <row r="17" spans="1:7" x14ac:dyDescent="0.35">
      <c r="A17" s="112"/>
      <c r="B17" s="112"/>
      <c r="C17" s="246" t="s">
        <v>106</v>
      </c>
      <c r="D17" s="247">
        <f>D14+D15+D16</f>
        <v>382703.10733333335</v>
      </c>
      <c r="E17" s="247"/>
      <c r="F17" s="247">
        <f>F14+F15+F16</f>
        <v>9184874.5759999994</v>
      </c>
      <c r="G17" s="243"/>
    </row>
    <row r="18" spans="1:7" x14ac:dyDescent="0.35">
      <c r="D18" s="127"/>
      <c r="E18" s="127"/>
    </row>
    <row r="19" spans="1:7" x14ac:dyDescent="0.35">
      <c r="G19" s="127"/>
    </row>
    <row r="20" spans="1:7" x14ac:dyDescent="0.35">
      <c r="G20" s="127"/>
    </row>
    <row r="21" spans="1:7" x14ac:dyDescent="0.35">
      <c r="G21" s="127"/>
    </row>
    <row r="22" spans="1:7" x14ac:dyDescent="0.35">
      <c r="G22" s="127"/>
    </row>
    <row r="23" spans="1:7" x14ac:dyDescent="0.35">
      <c r="G23" s="127"/>
    </row>
    <row r="24" spans="1:7" x14ac:dyDescent="0.35">
      <c r="G24" s="127"/>
    </row>
    <row r="25" spans="1:7" x14ac:dyDescent="0.35">
      <c r="G25" s="127"/>
    </row>
    <row r="26" spans="1:7" x14ac:dyDescent="0.35">
      <c r="G26" s="127"/>
    </row>
    <row r="27" spans="1:7" x14ac:dyDescent="0.35">
      <c r="G27" s="127"/>
    </row>
    <row r="28" spans="1:7" x14ac:dyDescent="0.35">
      <c r="G28" s="127"/>
    </row>
    <row r="29" spans="1:7" x14ac:dyDescent="0.35">
      <c r="G29" s="127"/>
    </row>
    <row r="30" spans="1:7" x14ac:dyDescent="0.35">
      <c r="G30" s="127"/>
    </row>
    <row r="31" spans="1:7" x14ac:dyDescent="0.35">
      <c r="G31" s="127"/>
    </row>
    <row r="32" spans="1:7" x14ac:dyDescent="0.35">
      <c r="G32" s="127"/>
    </row>
  </sheetData>
  <mergeCells count="2">
    <mergeCell ref="A4:A13"/>
    <mergeCell ref="C2:G2"/>
  </mergeCells>
  <pageMargins left="0.511811024" right="0.511811024" top="0.78740157499999996" bottom="0.78740157499999996" header="0.31496062000000002" footer="0.31496062000000002"/>
  <pageSetup paperSize="9" scale="8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BE104082D2E31498E5257EC224E2A7F" ma:contentTypeVersion="11" ma:contentTypeDescription="Crie um novo documento." ma:contentTypeScope="" ma:versionID="87fe7fd5036db10db7c29f25111a93bf">
  <xsd:schema xmlns:xsd="http://www.w3.org/2001/XMLSchema" xmlns:xs="http://www.w3.org/2001/XMLSchema" xmlns:p="http://schemas.microsoft.com/office/2006/metadata/properties" xmlns:ns2="20badb6a-cd38-41a5-974a-9f81b5e738da" xmlns:ns3="22c71f71-0f4f-4d8d-b884-98b9acf646fe" targetNamespace="http://schemas.microsoft.com/office/2006/metadata/properties" ma:root="true" ma:fieldsID="be3788b0a771ba2c48496fa7da713b29" ns2:_="" ns3:_="">
    <xsd:import namespace="20badb6a-cd38-41a5-974a-9f81b5e738da"/>
    <xsd:import namespace="22c71f71-0f4f-4d8d-b884-98b9acf646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adb6a-cd38-41a5-974a-9f81b5e738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c71f71-0f4f-4d8d-b884-98b9acf646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badb6a-cd38-41a5-974a-9f81b5e738d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143792D-C324-4803-9FAA-E8EB7F1CC1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badb6a-cd38-41a5-974a-9f81b5e738da"/>
    <ds:schemaRef ds:uri="22c71f71-0f4f-4d8d-b884-98b9acf646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D394B2-A64E-485D-B3B1-1CF90B276B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0E1218-0F3F-4FF2-AAC0-93EB2AF040B9}">
  <ds:schemaRefs>
    <ds:schemaRef ds:uri="http://schemas.microsoft.com/office/2006/metadata/properties"/>
    <ds:schemaRef ds:uri="http://schemas.microsoft.com/office/2006/documentManagement/types"/>
    <ds:schemaRef ds:uri="22c71f71-0f4f-4d8d-b884-98b9acf646fe"/>
    <ds:schemaRef ds:uri="20badb6a-cd38-41a5-974a-9f81b5e738da"/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PESQUISA</vt:lpstr>
      <vt:lpstr>PORTARIA 1070_23</vt:lpstr>
      <vt:lpstr>CONSOLIDADO</vt:lpstr>
      <vt:lpstr>Códigos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marco.amaral</dc:creator>
  <cp:keywords/>
  <dc:description/>
  <cp:lastModifiedBy>FB SB</cp:lastModifiedBy>
  <cp:revision/>
  <cp:lastPrinted>2025-03-11T18:51:16Z</cp:lastPrinted>
  <dcterms:created xsi:type="dcterms:W3CDTF">2013-05-08T14:34:10Z</dcterms:created>
  <dcterms:modified xsi:type="dcterms:W3CDTF">2025-03-11T18:54:25Z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0x0101006BE104082D2E31498E5257EC224E2A7F</vt:lpwstr>
  </property>
</Properties>
</file>