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anac-my.sharepoint.com/personal/darlesson_carmo_anac_gov_br/Documents/Manutenção Predial 2025/"/>
    </mc:Choice>
  </mc:AlternateContent>
  <xr:revisionPtr revIDLastSave="0" documentId="8_{4176555C-9509-423F-808E-D7358D557E03}" xr6:coauthVersionLast="47" xr6:coauthVersionMax="47" xr10:uidLastSave="{00000000-0000-0000-0000-000000000000}"/>
  <bookViews>
    <workbookView xWindow="-28920" yWindow="-15" windowWidth="29040" windowHeight="15720" tabRatio="894" firstSheet="1" activeTab="1" xr2:uid="{00000000-000D-0000-FFFF-FFFF00000000}"/>
  </bookViews>
  <sheets>
    <sheet name="Pesquisa de preço" sheetId="59" state="hidden" r:id="rId1"/>
    <sheet name="Orçamento Estimado" sheetId="72" r:id="rId2"/>
    <sheet name="Oficial de Manutenção SJC" sheetId="66" r:id="rId3"/>
    <sheet name="Oficial de Manutenção SP" sheetId="81" r:id="rId4"/>
    <sheet name="Engenheiro Eletricista" sheetId="73" r:id="rId5"/>
    <sheet name="Eng. Mec." sheetId="80" r:id="rId6"/>
    <sheet name="Valor Ref. Manut. AC" sheetId="70" state="hidden" r:id="rId7"/>
    <sheet name="Ferramentas" sheetId="74" r:id="rId8"/>
    <sheet name="Uniformes" sheetId="75" r:id="rId9"/>
    <sheet name="BDI" sheetId="76" r:id="rId10"/>
    <sheet name="Materiais Reposição" sheetId="77" r:id="rId11"/>
    <sheet name="Serviços Eventuais" sheetId="78" r:id="rId12"/>
    <sheet name="Valores Referenciais" sheetId="62" state="hidden" r:id="rId13"/>
  </sheets>
  <definedNames>
    <definedName name="_xlnm._FilterDatabase" localSheetId="10" hidden="1">'Materiais Reposição'!$A$1:$I$50</definedName>
    <definedName name="_xlnm.Print_Area" localSheetId="9">BDI!$B$1:$I$23</definedName>
    <definedName name="_xlnm.Print_Area" localSheetId="5">'Eng. Mec.'!$B$1:$J$52</definedName>
    <definedName name="_xlnm.Print_Area" localSheetId="4">'Engenheiro Eletricista'!$B$1:$J$52</definedName>
    <definedName name="_xlnm.Print_Area" localSheetId="7">Ferramentas!$A$1:$E$80</definedName>
    <definedName name="_xlnm.Print_Area" localSheetId="10">'Materiais Reposição'!$A$1:$H$214</definedName>
    <definedName name="_xlnm.Print_Area" localSheetId="2">'Oficial de Manutenção SJC'!$B$1:$J$133</definedName>
    <definedName name="_xlnm.Print_Area" localSheetId="3">'Oficial de Manutenção SP'!$B$1:$J$133</definedName>
    <definedName name="_xlnm.Print_Area" localSheetId="1">'Orçamento Estimado'!$B$1:$E$7</definedName>
    <definedName name="_xlnm.Print_Area" localSheetId="11">'Serviços Eventuais'!$A$1:$J$42</definedName>
    <definedName name="_xlnm.Print_Area" localSheetId="8">Uniformes!$B$1:$F$13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75" l="1"/>
  <c r="F13" i="75"/>
  <c r="I24" i="73"/>
  <c r="F204" i="77" l="1"/>
  <c r="F205" i="77"/>
  <c r="F206" i="77"/>
  <c r="F178" i="77"/>
  <c r="F179" i="77"/>
  <c r="F180" i="77"/>
  <c r="F181" i="77"/>
  <c r="F182" i="77"/>
  <c r="F183" i="77"/>
  <c r="F184" i="77"/>
  <c r="F185" i="77"/>
  <c r="F186" i="77"/>
  <c r="F187" i="77"/>
  <c r="F188" i="77"/>
  <c r="F189" i="77"/>
  <c r="F190" i="77"/>
  <c r="F191" i="77"/>
  <c r="F192" i="77"/>
  <c r="F193" i="77"/>
  <c r="F194" i="77"/>
  <c r="F195" i="77"/>
  <c r="F196" i="77"/>
  <c r="F197" i="77"/>
  <c r="F198" i="77"/>
  <c r="F199" i="77"/>
  <c r="F200" i="77"/>
  <c r="F163" i="77"/>
  <c r="F164" i="77"/>
  <c r="F165" i="77"/>
  <c r="F166" i="77"/>
  <c r="F167" i="77"/>
  <c r="F168" i="77"/>
  <c r="F169" i="77"/>
  <c r="F170" i="77"/>
  <c r="F171" i="77"/>
  <c r="F172" i="77"/>
  <c r="F173" i="77"/>
  <c r="F158" i="77"/>
  <c r="F159" i="77"/>
  <c r="F136" i="77"/>
  <c r="F137" i="77"/>
  <c r="F138" i="77"/>
  <c r="F139" i="77"/>
  <c r="F140" i="77"/>
  <c r="F141" i="77"/>
  <c r="F142" i="77"/>
  <c r="F143" i="77"/>
  <c r="F144" i="77"/>
  <c r="F145" i="77"/>
  <c r="F146" i="77"/>
  <c r="F147" i="77"/>
  <c r="F148" i="77"/>
  <c r="F149" i="77"/>
  <c r="F150" i="77"/>
  <c r="F151" i="77"/>
  <c r="F152" i="77"/>
  <c r="F153" i="77"/>
  <c r="F154" i="77"/>
  <c r="F54" i="77"/>
  <c r="F55" i="77"/>
  <c r="F56" i="77"/>
  <c r="F57" i="77"/>
  <c r="F58" i="77"/>
  <c r="F59" i="77"/>
  <c r="F60" i="77"/>
  <c r="F61" i="77"/>
  <c r="F62" i="77"/>
  <c r="F63" i="77"/>
  <c r="F64" i="77"/>
  <c r="F65" i="77"/>
  <c r="F66" i="77"/>
  <c r="F67" i="77"/>
  <c r="F68" i="77"/>
  <c r="F69" i="77"/>
  <c r="F70" i="77"/>
  <c r="F71" i="77"/>
  <c r="F72" i="77"/>
  <c r="F73" i="77"/>
  <c r="F74" i="77"/>
  <c r="F75" i="77"/>
  <c r="F76" i="77"/>
  <c r="F77" i="77"/>
  <c r="F78" i="77"/>
  <c r="F79" i="77"/>
  <c r="F80" i="77"/>
  <c r="F81" i="77"/>
  <c r="F82" i="77"/>
  <c r="F83" i="77"/>
  <c r="F84" i="77"/>
  <c r="F85" i="77"/>
  <c r="F86" i="77"/>
  <c r="F87" i="77"/>
  <c r="F88" i="77"/>
  <c r="F89" i="77"/>
  <c r="F90" i="77"/>
  <c r="F91" i="77"/>
  <c r="F92" i="77"/>
  <c r="F93" i="77"/>
  <c r="F94" i="77"/>
  <c r="F95" i="77"/>
  <c r="F96" i="77"/>
  <c r="F97" i="77"/>
  <c r="F98" i="77"/>
  <c r="F99" i="77"/>
  <c r="F100" i="77"/>
  <c r="F101" i="77"/>
  <c r="F102" i="77"/>
  <c r="F103" i="77"/>
  <c r="F104" i="77"/>
  <c r="F105" i="77"/>
  <c r="F106" i="77"/>
  <c r="F107" i="77"/>
  <c r="F108" i="77"/>
  <c r="F109" i="77"/>
  <c r="F110" i="77"/>
  <c r="F111" i="77"/>
  <c r="F112" i="77"/>
  <c r="F113" i="77"/>
  <c r="F114" i="77"/>
  <c r="F115" i="77"/>
  <c r="F116" i="77"/>
  <c r="F117" i="77"/>
  <c r="F118" i="77"/>
  <c r="F119" i="77"/>
  <c r="F120" i="77"/>
  <c r="F121" i="77"/>
  <c r="F122" i="77"/>
  <c r="F123" i="77"/>
  <c r="F124" i="77"/>
  <c r="F125" i="77"/>
  <c r="F126" i="77"/>
  <c r="F127" i="77"/>
  <c r="F128" i="77"/>
  <c r="F129" i="77"/>
  <c r="F130" i="77"/>
  <c r="F131" i="77"/>
  <c r="F132" i="77"/>
  <c r="F5" i="77"/>
  <c r="F6" i="77"/>
  <c r="F7" i="77"/>
  <c r="F8" i="77"/>
  <c r="F9" i="77"/>
  <c r="F10" i="77"/>
  <c r="F11" i="77"/>
  <c r="F12" i="77"/>
  <c r="F13" i="77"/>
  <c r="F14" i="77"/>
  <c r="F15" i="77"/>
  <c r="F16" i="77"/>
  <c r="F17" i="77"/>
  <c r="F18" i="77"/>
  <c r="F19" i="77"/>
  <c r="F20" i="77"/>
  <c r="F21" i="77"/>
  <c r="F22" i="77"/>
  <c r="F23" i="77"/>
  <c r="F24" i="77"/>
  <c r="F25" i="77"/>
  <c r="F26" i="77"/>
  <c r="F27" i="77"/>
  <c r="F28" i="77"/>
  <c r="F29" i="77"/>
  <c r="F30" i="77"/>
  <c r="F31" i="77"/>
  <c r="F32" i="77"/>
  <c r="F33" i="77"/>
  <c r="F34" i="77"/>
  <c r="F35" i="77"/>
  <c r="F36" i="77"/>
  <c r="F37" i="77"/>
  <c r="F38" i="77"/>
  <c r="F39" i="77"/>
  <c r="F40" i="77"/>
  <c r="F41" i="77"/>
  <c r="F42" i="77"/>
  <c r="F43" i="77"/>
  <c r="F44" i="77"/>
  <c r="F45" i="77"/>
  <c r="F46" i="77"/>
  <c r="F47" i="77"/>
  <c r="F48" i="77"/>
  <c r="F49" i="77"/>
  <c r="F50" i="77"/>
  <c r="F5" i="75"/>
  <c r="F6" i="75"/>
  <c r="F7" i="75"/>
  <c r="F8" i="75"/>
  <c r="F9" i="75"/>
  <c r="F10" i="75"/>
  <c r="F11" i="75"/>
  <c r="F4" i="75" l="1"/>
  <c r="F21" i="78" l="1"/>
  <c r="F20" i="78"/>
  <c r="J54" i="66" l="1"/>
  <c r="J54" i="81"/>
  <c r="J53" i="81"/>
  <c r="J94" i="81" l="1"/>
  <c r="I113" i="81"/>
  <c r="I115" i="81"/>
  <c r="I79" i="81"/>
  <c r="I85" i="81" s="1"/>
  <c r="I80" i="81"/>
  <c r="I81" i="81"/>
  <c r="I82" i="81"/>
  <c r="I83" i="81"/>
  <c r="I69" i="81"/>
  <c r="I71" i="81"/>
  <c r="I72" i="81"/>
  <c r="I50" i="81"/>
  <c r="I39" i="81"/>
  <c r="J28" i="81"/>
  <c r="J33" i="81" s="1"/>
  <c r="J29" i="81"/>
  <c r="J30" i="81"/>
  <c r="J31" i="81"/>
  <c r="J32" i="81"/>
  <c r="D5" i="78"/>
  <c r="E22" i="78"/>
  <c r="E14" i="74"/>
  <c r="E15" i="74"/>
  <c r="E17" i="74"/>
  <c r="E20" i="74"/>
  <c r="E26" i="74"/>
  <c r="E37" i="74"/>
  <c r="E44" i="74"/>
  <c r="F27" i="78"/>
  <c r="F35" i="78"/>
  <c r="F25" i="78"/>
  <c r="F34" i="78"/>
  <c r="F24" i="78"/>
  <c r="F26" i="78"/>
  <c r="F33" i="78"/>
  <c r="F31" i="78"/>
  <c r="F36" i="78"/>
  <c r="F37" i="78"/>
  <c r="F30" i="78"/>
  <c r="F29" i="78"/>
  <c r="F28" i="78"/>
  <c r="J69" i="81" l="1"/>
  <c r="J72" i="81"/>
  <c r="J126" i="81"/>
  <c r="J84" i="81"/>
  <c r="J80" i="81"/>
  <c r="J83" i="81"/>
  <c r="J73" i="81"/>
  <c r="J81" i="81"/>
  <c r="J71" i="81"/>
  <c r="J55" i="81"/>
  <c r="J58" i="81" s="1"/>
  <c r="J64" i="81" s="1"/>
  <c r="J37" i="81"/>
  <c r="J39" i="81" s="1"/>
  <c r="J62" i="81" s="1"/>
  <c r="J79" i="81"/>
  <c r="J82" i="81"/>
  <c r="J38" i="81"/>
  <c r="I74" i="81"/>
  <c r="I70" i="81"/>
  <c r="J70" i="81" s="1"/>
  <c r="F22" i="78"/>
  <c r="F16" i="78"/>
  <c r="F14" i="78"/>
  <c r="J46" i="81" l="1"/>
  <c r="J49" i="81"/>
  <c r="J47" i="81"/>
  <c r="J43" i="81"/>
  <c r="J48" i="81"/>
  <c r="J42" i="81"/>
  <c r="J85" i="81"/>
  <c r="J93" i="81" s="1"/>
  <c r="J95" i="81" s="1"/>
  <c r="J129" i="81" s="1"/>
  <c r="J45" i="81"/>
  <c r="J44" i="81"/>
  <c r="J74" i="81"/>
  <c r="J128" i="81" s="1"/>
  <c r="F5" i="78"/>
  <c r="F6" i="78"/>
  <c r="F7" i="78"/>
  <c r="F8" i="78"/>
  <c r="F9" i="78"/>
  <c r="F10" i="78"/>
  <c r="F11" i="78"/>
  <c r="F12" i="78"/>
  <c r="F13" i="78"/>
  <c r="F15" i="78"/>
  <c r="F17" i="78"/>
  <c r="F18" i="78"/>
  <c r="F19" i="78"/>
  <c r="F23" i="78"/>
  <c r="F4" i="78"/>
  <c r="G38" i="78"/>
  <c r="G40" i="78" s="1"/>
  <c r="G42" i="78" s="1"/>
  <c r="E70" i="74"/>
  <c r="E69" i="74"/>
  <c r="E68" i="74"/>
  <c r="E67" i="74"/>
  <c r="E66" i="74"/>
  <c r="E65" i="74"/>
  <c r="E64" i="74"/>
  <c r="E63" i="74"/>
  <c r="E62" i="74"/>
  <c r="E61" i="74"/>
  <c r="E60" i="74"/>
  <c r="E59" i="74"/>
  <c r="E58" i="74"/>
  <c r="E57" i="74"/>
  <c r="E56" i="74"/>
  <c r="E55" i="74"/>
  <c r="E54" i="74"/>
  <c r="E53" i="74"/>
  <c r="E52" i="74"/>
  <c r="E51" i="74"/>
  <c r="E50" i="74"/>
  <c r="E49" i="74"/>
  <c r="E48" i="74"/>
  <c r="E47" i="74"/>
  <c r="E46" i="74"/>
  <c r="E45" i="74"/>
  <c r="E43" i="74"/>
  <c r="E42" i="74"/>
  <c r="E41" i="74"/>
  <c r="E40" i="74"/>
  <c r="E39" i="74"/>
  <c r="E38" i="74"/>
  <c r="E36" i="74"/>
  <c r="E35" i="74"/>
  <c r="E34" i="74"/>
  <c r="E33" i="74"/>
  <c r="E32" i="74"/>
  <c r="E31" i="74"/>
  <c r="E30" i="74"/>
  <c r="E29" i="74"/>
  <c r="E28" i="74"/>
  <c r="E27" i="74"/>
  <c r="E25" i="74"/>
  <c r="E24" i="74"/>
  <c r="E23" i="74"/>
  <c r="E22" i="74"/>
  <c r="E21" i="74"/>
  <c r="E19" i="74"/>
  <c r="E18" i="74"/>
  <c r="E16" i="74"/>
  <c r="E13" i="74"/>
  <c r="E12" i="74"/>
  <c r="E11" i="74"/>
  <c r="E10" i="74"/>
  <c r="E9" i="74"/>
  <c r="E8" i="74"/>
  <c r="E7" i="74"/>
  <c r="E6" i="74"/>
  <c r="E5" i="74"/>
  <c r="E4" i="74"/>
  <c r="J50" i="81" l="1"/>
  <c r="J63" i="81" s="1"/>
  <c r="J65" i="81" s="1"/>
  <c r="E71" i="74"/>
  <c r="E72" i="74" s="1"/>
  <c r="G41" i="78"/>
  <c r="J127" i="81" l="1"/>
  <c r="E73" i="74"/>
  <c r="E74" i="74" s="1"/>
  <c r="E75" i="74" s="1"/>
  <c r="E77" i="74" s="1"/>
  <c r="J100" i="81" s="1"/>
  <c r="J100" i="66" l="1"/>
  <c r="F177" i="77" l="1"/>
  <c r="F201" i="77" l="1"/>
  <c r="F203" i="77"/>
  <c r="F174" i="77"/>
  <c r="F162" i="77"/>
  <c r="F157" i="77"/>
  <c r="F4" i="77"/>
  <c r="F52" i="77" l="1"/>
  <c r="F134" i="77"/>
  <c r="F155" i="77"/>
  <c r="F160" i="77"/>
  <c r="F175" i="77"/>
  <c r="F207" i="77"/>
  <c r="F208" i="77" l="1"/>
  <c r="I24" i="80"/>
  <c r="J50" i="80" s="1"/>
  <c r="I39" i="80"/>
  <c r="I37" i="80"/>
  <c r="J31" i="80" l="1"/>
  <c r="J32" i="80" s="1"/>
  <c r="J35" i="80" l="1"/>
  <c r="J36" i="80"/>
  <c r="J34" i="80"/>
  <c r="J37" i="80" s="1"/>
  <c r="J51" i="80" s="1"/>
  <c r="J52" i="80" s="1"/>
  <c r="J42" i="80"/>
  <c r="J44" i="80" s="1"/>
  <c r="J46" i="80" s="1"/>
  <c r="I21" i="76" l="1"/>
  <c r="I18" i="76"/>
  <c r="I12" i="76"/>
  <c r="I9" i="76"/>
  <c r="G5" i="70"/>
  <c r="I5" i="70"/>
  <c r="K5" i="70"/>
  <c r="L5" i="70"/>
  <c r="M5" i="70" s="1"/>
  <c r="N5" i="70" s="1"/>
  <c r="G6" i="70"/>
  <c r="I6" i="70"/>
  <c r="K6" i="70"/>
  <c r="L6" i="70"/>
  <c r="M6" i="70" s="1"/>
  <c r="N6" i="70" s="1"/>
  <c r="G7" i="70"/>
  <c r="I7" i="70"/>
  <c r="K7" i="70"/>
  <c r="L7" i="70"/>
  <c r="M7" i="70" s="1"/>
  <c r="N7" i="70" s="1"/>
  <c r="G8" i="70"/>
  <c r="I8" i="70"/>
  <c r="K8" i="70"/>
  <c r="L8" i="70"/>
  <c r="M8" i="70" s="1"/>
  <c r="N8" i="70" s="1"/>
  <c r="G9" i="70"/>
  <c r="I9" i="70"/>
  <c r="K9" i="70"/>
  <c r="L9" i="70"/>
  <c r="M9" i="70" s="1"/>
  <c r="N9" i="70" s="1"/>
  <c r="G10" i="70"/>
  <c r="I10" i="70"/>
  <c r="K10" i="70"/>
  <c r="L10" i="70"/>
  <c r="M10" i="70" s="1"/>
  <c r="N10" i="70" s="1"/>
  <c r="G11" i="70"/>
  <c r="I11" i="70"/>
  <c r="K11" i="70"/>
  <c r="L11" i="70"/>
  <c r="M11" i="70" s="1"/>
  <c r="N11" i="70" s="1"/>
  <c r="G12" i="70"/>
  <c r="I12" i="70"/>
  <c r="K12" i="70"/>
  <c r="L12" i="70"/>
  <c r="M12" i="70" s="1"/>
  <c r="N12" i="70" s="1"/>
  <c r="D21" i="76"/>
  <c r="D18" i="76"/>
  <c r="D12" i="76"/>
  <c r="D9" i="76"/>
  <c r="J31" i="73"/>
  <c r="J50" i="73"/>
  <c r="I39" i="73"/>
  <c r="I37" i="73"/>
  <c r="E13" i="70"/>
  <c r="I115" i="66"/>
  <c r="J53" i="66"/>
  <c r="J28" i="66"/>
  <c r="J99" i="81" l="1"/>
  <c r="J103" i="81" s="1"/>
  <c r="K13" i="70"/>
  <c r="M13" i="70"/>
  <c r="I13" i="70"/>
  <c r="G13" i="70"/>
  <c r="I22" i="76"/>
  <c r="H210" i="77" s="1"/>
  <c r="H211" i="77" s="1"/>
  <c r="H212" i="77" s="1"/>
  <c r="H213" i="77" s="1"/>
  <c r="N13" i="70"/>
  <c r="D22" i="76"/>
  <c r="D39" i="78" s="1"/>
  <c r="J32" i="73"/>
  <c r="J34" i="73" s="1"/>
  <c r="J130" i="81" l="1"/>
  <c r="J131" i="81" s="1"/>
  <c r="G39" i="78"/>
  <c r="D5" i="72"/>
  <c r="E5" i="72" s="1"/>
  <c r="J99" i="66"/>
  <c r="J42" i="73"/>
  <c r="J44" i="73" s="1"/>
  <c r="J36" i="73"/>
  <c r="J35" i="73"/>
  <c r="J29" i="66"/>
  <c r="J30" i="66"/>
  <c r="J31" i="66"/>
  <c r="J32" i="66"/>
  <c r="J107" i="81" l="1"/>
  <c r="J108" i="81" s="1"/>
  <c r="J112" i="81" s="1"/>
  <c r="J33" i="66"/>
  <c r="I113" i="66"/>
  <c r="J94" i="66"/>
  <c r="I83" i="66"/>
  <c r="I82" i="66"/>
  <c r="I81" i="66"/>
  <c r="I80" i="66"/>
  <c r="I79" i="66"/>
  <c r="I85" i="66" s="1"/>
  <c r="I71" i="66"/>
  <c r="I69" i="66"/>
  <c r="I50" i="66"/>
  <c r="I39" i="66"/>
  <c r="J111" i="81" l="1"/>
  <c r="J110" i="81"/>
  <c r="J118" i="81"/>
  <c r="J120" i="81" s="1"/>
  <c r="J122" i="81" s="1"/>
  <c r="I70" i="66"/>
  <c r="J69" i="66"/>
  <c r="I72" i="66"/>
  <c r="J55" i="66"/>
  <c r="J58" i="66" s="1"/>
  <c r="J64" i="66" s="1"/>
  <c r="J38" i="66"/>
  <c r="J37" i="66"/>
  <c r="J39" i="66" s="1"/>
  <c r="J81" i="66"/>
  <c r="J83" i="66"/>
  <c r="J72" i="66"/>
  <c r="J84" i="66"/>
  <c r="J70" i="66"/>
  <c r="J73" i="66"/>
  <c r="I74" i="66"/>
  <c r="J126" i="66"/>
  <c r="J79" i="66"/>
  <c r="J82" i="66"/>
  <c r="J71" i="66"/>
  <c r="J80" i="66"/>
  <c r="J113" i="81" l="1"/>
  <c r="J132" i="81" s="1"/>
  <c r="J133" i="81" s="1"/>
  <c r="J62" i="66"/>
  <c r="J42" i="66"/>
  <c r="J49" i="66"/>
  <c r="J46" i="66"/>
  <c r="J74" i="66"/>
  <c r="J128" i="66" s="1"/>
  <c r="J44" i="66"/>
  <c r="J47" i="66"/>
  <c r="J85" i="66"/>
  <c r="J93" i="66" s="1"/>
  <c r="J95" i="66" s="1"/>
  <c r="J129" i="66" s="1"/>
  <c r="J46" i="73" l="1"/>
  <c r="J37" i="73"/>
  <c r="J51" i="73" s="1"/>
  <c r="J52" i="73" s="1"/>
  <c r="J43" i="66"/>
  <c r="J48" i="66"/>
  <c r="J45" i="66"/>
  <c r="J50" i="66" l="1"/>
  <c r="J63" i="66"/>
  <c r="J65" i="66" s="1"/>
  <c r="J127" i="66" s="1"/>
  <c r="E114" i="59" l="1"/>
  <c r="E113" i="59"/>
  <c r="E112" i="59"/>
  <c r="E111" i="59"/>
  <c r="E110" i="59"/>
  <c r="H109" i="59" s="1"/>
  <c r="E109" i="59"/>
  <c r="H21" i="59"/>
  <c r="F92" i="59"/>
  <c r="H71" i="59"/>
  <c r="G61" i="59"/>
  <c r="G71" i="59"/>
  <c r="F71" i="59"/>
  <c r="H61" i="59"/>
  <c r="F61" i="59"/>
  <c r="F102" i="59"/>
  <c r="H92" i="59"/>
  <c r="G92" i="59"/>
  <c r="H82" i="59"/>
  <c r="F82" i="59"/>
  <c r="G82" i="59"/>
  <c r="D15" i="62"/>
  <c r="C15" i="62"/>
  <c r="E41" i="59"/>
  <c r="E56" i="59"/>
  <c r="E40" i="59"/>
  <c r="E39" i="59"/>
  <c r="E55" i="59"/>
  <c r="E54" i="59"/>
  <c r="E53" i="59"/>
  <c r="E37" i="59"/>
  <c r="E52" i="59"/>
  <c r="E36" i="59"/>
  <c r="E51" i="59"/>
  <c r="E35" i="59"/>
  <c r="E49" i="59"/>
  <c r="E50" i="59"/>
  <c r="E34" i="59"/>
  <c r="G109" i="59" l="1"/>
  <c r="F109" i="59"/>
  <c r="E15" i="62"/>
  <c r="G15" i="62" s="1"/>
  <c r="G49" i="59"/>
  <c r="F49" i="59"/>
  <c r="F33" i="59"/>
  <c r="H49" i="59"/>
  <c r="G33" i="59"/>
  <c r="H38" i="59"/>
  <c r="F8" i="62" s="1"/>
  <c r="G16" i="62" l="1"/>
  <c r="G17" i="62" s="1"/>
  <c r="J103" i="66"/>
  <c r="G8" i="62"/>
  <c r="G9" i="62" s="1"/>
  <c r="G21" i="62"/>
  <c r="G15" i="59"/>
  <c r="J10" i="59" s="1"/>
  <c r="J130" i="66" l="1"/>
  <c r="J131" i="66" s="1"/>
  <c r="F32" i="78"/>
  <c r="E38" i="78" s="1"/>
  <c r="E39" i="78" s="1"/>
  <c r="E40" i="78" s="1"/>
  <c r="E41" i="78" s="1"/>
  <c r="H10" i="59"/>
  <c r="I10" i="59"/>
  <c r="G10" i="62"/>
  <c r="E42" i="78" l="1"/>
  <c r="D6" i="72"/>
  <c r="E6" i="72" s="1"/>
  <c r="J107" i="66"/>
  <c r="J108" i="66" l="1"/>
  <c r="J110" i="66" s="1"/>
  <c r="J118" i="66" l="1"/>
  <c r="J120" i="66" s="1"/>
  <c r="J122" i="66" s="1"/>
  <c r="J112" i="66"/>
  <c r="J111" i="66"/>
  <c r="J113" i="66" l="1"/>
  <c r="J132" i="66" s="1"/>
  <c r="J133" i="66" s="1"/>
  <c r="D4" i="72" s="1"/>
  <c r="E4" i="72" s="1"/>
  <c r="D7" i="72" l="1"/>
  <c r="E7" i="72"/>
</calcChain>
</file>

<file path=xl/sharedStrings.xml><?xml version="1.0" encoding="utf-8"?>
<sst xmlns="http://schemas.openxmlformats.org/spreadsheetml/2006/main" count="2157" uniqueCount="983">
  <si>
    <t>PESQUISA DE PREÇOS</t>
  </si>
  <si>
    <t>ASSISTENTE ADMINISTRATIVO</t>
  </si>
  <si>
    <t>ÓRGÃO</t>
  </si>
  <si>
    <t>UASG</t>
  </si>
  <si>
    <t>PREGÃO</t>
  </si>
  <si>
    <t>EMPRESA</t>
  </si>
  <si>
    <t>CNPJ</t>
  </si>
  <si>
    <t>VALOR</t>
  </si>
  <si>
    <t>MÉDIA</t>
  </si>
  <si>
    <t>DESVIO PADRÃO</t>
  </si>
  <si>
    <t>MÉDIA AJUSTADA</t>
  </si>
  <si>
    <t>IPHAN 9A. SUPERINTENDêNCIA REGIONAL</t>
  </si>
  <si>
    <t>003/2021</t>
  </si>
  <si>
    <t>SEGMAR SERVICOS TERCEIRIZADOS EIRELI</t>
  </si>
  <si>
    <t>12.360.485/0001-03</t>
  </si>
  <si>
    <t>SUP. REG. DO DNIT NO ESTADO DE SAO PAULO</t>
  </si>
  <si>
    <t>380/2020</t>
  </si>
  <si>
    <t xml:space="preserve">	G4F SOLUCOES CORPORATIVAS LTDA</t>
  </si>
  <si>
    <t>07.094.346/0001-45</t>
  </si>
  <si>
    <t>SUPERINT.FED. DE AGRIC.PECUARIA E ABASTEC./SP</t>
  </si>
  <si>
    <t>004/2019</t>
  </si>
  <si>
    <t>ORBENK ADMINISTRACAO E SERVICOS LTDA.</t>
  </si>
  <si>
    <t>79.283.065/0001-41</t>
  </si>
  <si>
    <t>https://dissidio.com.br/salario/assistente-administrativo/</t>
  </si>
  <si>
    <t>-</t>
  </si>
  <si>
    <t>Salário de Assistente Administrativo | Infojobs</t>
  </si>
  <si>
    <t>Assistente Administrativo - Salário 2021 - São Paulo, SP (salario.com.br)</t>
  </si>
  <si>
    <t>SEGURO DE VIDA</t>
  </si>
  <si>
    <t>CONSELHO REG. DE ENG. E AGRON. DE S.PAULO</t>
  </si>
  <si>
    <t>007/2021</t>
  </si>
  <si>
    <t>LINCE - SEGURANCA ELETRONICA LTDA.</t>
  </si>
  <si>
    <t>10.565.981/0001-78</t>
  </si>
  <si>
    <t>PROCURADORIA REG.DO TRABALHO 2A. REGIAO - SP</t>
  </si>
  <si>
    <t>008/2021</t>
  </si>
  <si>
    <t>VISION EMPREENDIMENTOS EIRELI</t>
  </si>
  <si>
    <t>09.327.728/0001-05</t>
  </si>
  <si>
    <t>INST.FED.DE EDUC.,CIENC.E TEC.DE SÃO PAULO</t>
  </si>
  <si>
    <t>1710/2021</t>
  </si>
  <si>
    <t>IMPERIO SERVICOS EMPRESARIAIS EIRELI</t>
  </si>
  <si>
    <t>21.795.157/0001-20</t>
  </si>
  <si>
    <t>GERENCIA REGIONAL EM SÃO PAULO</t>
  </si>
  <si>
    <t>016/2021</t>
  </si>
  <si>
    <t>APPA SERVICOS TEMPORARIOS E EFETIVOS LTDA</t>
  </si>
  <si>
    <t>05.969.071/0001-10</t>
  </si>
  <si>
    <t>RELÓGIO PONTO BIOMÉTRICO</t>
  </si>
  <si>
    <t>DATA</t>
  </si>
  <si>
    <t xml:space="preserve">ACWARE COMÉRCIO DE EQUIPAMENTOS PARA AUTOMAÇÃO COMERCIAL LTDA </t>
  </si>
  <si>
    <t>10.690.274/0001-03</t>
  </si>
  <si>
    <t xml:space="preserve">LOJADOPONTO TECNOLOGIA EIRELI-ME </t>
  </si>
  <si>
    <t xml:space="preserve">27.283.673/0001-52 </t>
  </si>
  <si>
    <t>GASPARINI &amp; FERREIRA - COMERCIO DE PRODUTOS ELETRONICOS LTDA</t>
  </si>
  <si>
    <t>14.322.609/0001-91</t>
  </si>
  <si>
    <t xml:space="preserve">CANAL AUTOMACAO – EIRELI </t>
  </si>
  <si>
    <t>17.235.480/0001-72</t>
  </si>
  <si>
    <t xml:space="preserve">ETIPLAST INDUSTRIA E COMERCIO DE ETIQUETAS LTDA - EPP </t>
  </si>
  <si>
    <t>12.521.222/0001-39</t>
  </si>
  <si>
    <t xml:space="preserve">VGA TECNOLOGIA E ELETRONICOS LTDA   </t>
  </si>
  <si>
    <t>34.122.654/0001-00</t>
  </si>
  <si>
    <t xml:space="preserve">ECOLOGIC SYSTEMS INFORMATICA LTDA - EPP </t>
  </si>
  <si>
    <t>06.580.675/0001-33</t>
  </si>
  <si>
    <t>MANCHESTER AUTOMACAO LTDA</t>
  </si>
  <si>
    <t>05.061.448/0001-39</t>
  </si>
  <si>
    <t>TECNOPAR TECNOLOGIA EM AUTOMAÇÕES LTDA</t>
  </si>
  <si>
    <t>08.829.865/0001-77</t>
  </si>
  <si>
    <t xml:space="preserve">I. G EQUIPAMENTOS DE RELOGIO DE PONTO LTDA   </t>
  </si>
  <si>
    <t>12.303.126/0001-14</t>
  </si>
  <si>
    <t xml:space="preserve">ISMAFER FERRAGENS LTDA  </t>
  </si>
  <si>
    <t>18.785.157/0001-35</t>
  </si>
  <si>
    <t>BOBINA PONTO BIOMÉTRICO (6 BOBINAS)</t>
  </si>
  <si>
    <t xml:space="preserve">27.283673/0001-52 </t>
  </si>
  <si>
    <t>UNIFORME - CAMISA</t>
  </si>
  <si>
    <t>MWT COMERCIO DE ROUPAS E ESTAMPARIA LTDA (MASCULINO)</t>
  </si>
  <si>
    <t>17.918.683/0001-63</t>
  </si>
  <si>
    <t>MWT COMERCIO DE ROUPAS E ESTAMPARIA LTDA (FEMININO)</t>
  </si>
  <si>
    <t>FM IMPRESSOS PERSONALIZADOS LTDA (MASCULINO)</t>
  </si>
  <si>
    <t>13.555.994/0001-54</t>
  </si>
  <si>
    <t>RDH UNIFORMES PROFISSIONAIS EIRELI (MASCULINO)</t>
  </si>
  <si>
    <t>17.904.902/0001-55</t>
  </si>
  <si>
    <t>RDH UNIFORMES PROFISSIONAIS EIRELI (FEMININO)</t>
  </si>
  <si>
    <t>ALPHA MODA CONFECCOES SOROCABA LTDA (MASCULINO)</t>
  </si>
  <si>
    <t>13.564.909/0001-14</t>
  </si>
  <si>
    <t>UNIFORME - CALÇA</t>
  </si>
  <si>
    <t>TODAN COMERCIO DE CONFECCOES - EIRELI (FEMININO)</t>
  </si>
  <si>
    <t>28.895.349/0001-58</t>
  </si>
  <si>
    <t>LOJAS RENNER S/A (FEMININO)</t>
  </si>
  <si>
    <t>92.754.738/0001-62</t>
  </si>
  <si>
    <t>LOJAS BELIAN MODA LTDA (FEMININO)</t>
  </si>
  <si>
    <t>46.469.748/0052-89</t>
  </si>
  <si>
    <t>C&amp;A MODAS S/A (MASCULINO)</t>
  </si>
  <si>
    <t>45.242.914/0001-05</t>
  </si>
  <si>
    <t>TNG COMERCIO E INDUSTRIA DE ROUPAS LTDA (MASCULINO)</t>
  </si>
  <si>
    <t>53.966.834/0236-78</t>
  </si>
  <si>
    <t>LOJAS RIACHUELO S/A (MASCULINO)</t>
  </si>
  <si>
    <t>33.200.056/0441-97</t>
  </si>
  <si>
    <t>UNIFORME - SUETER</t>
  </si>
  <si>
    <t>HAVAN S/A (MASCULINO)</t>
  </si>
  <si>
    <t>79.379.491.0008-50</t>
  </si>
  <si>
    <t>SANDRO GIACOMETTI DONA (MASCULINO)</t>
  </si>
  <si>
    <t>08.989.175/0001-85</t>
  </si>
  <si>
    <t>LOJAS BELIAN MODA LTDA (MASCULINO)</t>
  </si>
  <si>
    <t>C&amp;A MODAS S/A (FEMININO)</t>
  </si>
  <si>
    <t>TNG COMERCIO E INDUSTRIA DE ROUPAS LTDA (FEMININO)</t>
  </si>
  <si>
    <t>LOJAS RIACHUELO S/A (FEMININO)</t>
  </si>
  <si>
    <t>UNIFORME - SAPATO</t>
  </si>
  <si>
    <t>GABRIELA GIMENES MIRON ENCINAS (FEMININO)</t>
  </si>
  <si>
    <t>19.705.008/0001-81</t>
  </si>
  <si>
    <t>ERICK ROCHA DE SOUZA (MASCULINO)</t>
  </si>
  <si>
    <t>20.214.857/0001-11</t>
  </si>
  <si>
    <t>SERGIY GREKOV (FEMININO)</t>
  </si>
  <si>
    <t>27.390.148/0001-36</t>
  </si>
  <si>
    <t>FKV COMERCIO DE CALCADOS LTDA (FEMININO)</t>
  </si>
  <si>
    <t>16.852.091/0001-23</t>
  </si>
  <si>
    <t>CAROL VILHENA EIRELI (MASCULINO)</t>
  </si>
  <si>
    <t>18.485.430/0001-06</t>
  </si>
  <si>
    <t>UNIFORME - CINTO</t>
  </si>
  <si>
    <t>FKV COMERCIO DE CALCADOS LTDA</t>
  </si>
  <si>
    <t>USEPELLE INDUSTRIA DE ARTEFATOS DE COURO LTDA</t>
  </si>
  <si>
    <t>15.691.739/0001-64</t>
  </si>
  <si>
    <t xml:space="preserve">RAPHAEL RODRIGUES NAVES </t>
  </si>
  <si>
    <t>36.074.899/0001-34</t>
  </si>
  <si>
    <t>UNIFORME - MEIA</t>
  </si>
  <si>
    <t>ROBSON BARBOSA JULIO (FEMININO)</t>
  </si>
  <si>
    <t>40.512.969/0001-66</t>
  </si>
  <si>
    <t>PART. B - COMERCIO DE ARTIGOS DO VESTUARIO LTDA</t>
  </si>
  <si>
    <t>30.288.399/0001-19</t>
  </si>
  <si>
    <t>LOJAS RIACHUELO S/A</t>
  </si>
  <si>
    <t>MENGROW COMERCIO LTDA (MASCULINO)</t>
  </si>
  <si>
    <t>41.109.350/0001-78</t>
  </si>
  <si>
    <t>GFG COMERCIO DIGITAL LTDA (MASCULINO)</t>
  </si>
  <si>
    <t>11.200.418/0004-01</t>
  </si>
  <si>
    <t>ITEM</t>
  </si>
  <si>
    <t>DESCRIÇÃO</t>
  </si>
  <si>
    <t>VALOR MENSAL</t>
  </si>
  <si>
    <t>VALOR TOTAL (12 MESES)</t>
  </si>
  <si>
    <t>Prestação de serviços de manutenção preventiva e corretiva com fornecimento de mão de obra especializada</t>
  </si>
  <si>
    <t>Fornecimento de materiais de reposição</t>
  </si>
  <si>
    <t xml:space="preserve">Prestação de serviços eventuais </t>
  </si>
  <si>
    <t>VALOR TOTAL PARA 12 MESES</t>
  </si>
  <si>
    <t>IN 05/2017/SEGES/MPDG - ANEXO VII-D</t>
  </si>
  <si>
    <t>PLANILHA DE CUSTOS E FORMAÇÃO DE PREÇOS</t>
  </si>
  <si>
    <t>N.º do Processo 00058.023578/2024-54</t>
  </si>
  <si>
    <t xml:space="preserve">Categoria profissional: Oficial de Manutenção Predial </t>
  </si>
  <si>
    <t>Discriminação dos Serviços</t>
  </si>
  <si>
    <t>A</t>
  </si>
  <si>
    <t>Data de apresentação da proposta</t>
  </si>
  <si>
    <t>B</t>
  </si>
  <si>
    <t>Município</t>
  </si>
  <si>
    <t>São José dos Campos/SP</t>
  </si>
  <si>
    <t>C</t>
  </si>
  <si>
    <t>Ano do Acordo, Convenção ou Dissídio Coletivo</t>
  </si>
  <si>
    <t>Referência SINTRICOM/São José dos Campos e SINDUSCON 2024/2025</t>
  </si>
  <si>
    <t>D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</si>
  <si>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</si>
  <si>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</si>
  <si>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</si>
  <si>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</si>
  <si>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</si>
  <si>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Oficial de Manutenção (edifícios)</t>
  </si>
  <si>
    <t>Posto</t>
  </si>
  <si>
    <t>Dados para composição dos custos referentes à mão-de-obra</t>
  </si>
  <si>
    <t>Tipo de serviço (mesmo serviço com características distintas)</t>
  </si>
  <si>
    <t>Manutenção Predial</t>
  </si>
  <si>
    <t>Classificação Brasileira de Ocupações (CBO)</t>
  </si>
  <si>
    <t>5143-25</t>
  </si>
  <si>
    <t>Salário Nominativo da Categoria Profissional</t>
  </si>
  <si>
    <t>Categoria profissional (vinculada à execução contratual)</t>
  </si>
  <si>
    <t>Data base da categoria (dia/mês/ano)</t>
  </si>
  <si>
    <t>1º/05/2025</t>
  </si>
  <si>
    <t>MÓDULO 1 - COMPOSIÇÃO DA REMUNERAÇÃO</t>
  </si>
  <si>
    <t>COMPOSIÇÃO DA REMUNERAÇÃO</t>
  </si>
  <si>
    <t>%</t>
  </si>
  <si>
    <t>VALOR (R$)</t>
  </si>
  <si>
    <t>Memória de Cálculo</t>
  </si>
  <si>
    <t>Fundamento</t>
  </si>
  <si>
    <t>Salário Base</t>
  </si>
  <si>
    <t>CCT 2024/2025</t>
  </si>
  <si>
    <t xml:space="preserve">Adicional Periculosidade </t>
  </si>
  <si>
    <t>Lei n.º 12.740/2012</t>
  </si>
  <si>
    <t>Adicional Insalubridade</t>
  </si>
  <si>
    <t>Adicional Noturno</t>
  </si>
  <si>
    <t>E</t>
  </si>
  <si>
    <t>Adicional de Hora Noturna Reduzida</t>
  </si>
  <si>
    <t>F</t>
  </si>
  <si>
    <t>Outros (especificar)</t>
  </si>
  <si>
    <t>TOTAL DO MÓDULO 1</t>
  </si>
  <si>
    <t>MÓDULO 2 – ENCARGOS E BENEFÍCIOS ANUAIS, MENSAIS E DIÁRIOS</t>
  </si>
  <si>
    <t>Submódulo 2.1 - 13º Salário, Férias e Adicional de Férias</t>
  </si>
  <si>
    <t>13 (Décimo-terceiro) salário (Percentual obrigatório conforme Anexo XII - IN 5/17)</t>
  </si>
  <si>
    <t>Art. 7º, VIII, CF/88- Dec. 57.115/65.
INSTRUÇÃO NORMATIVA Nº 5, DE 26 DE MAIO DE 2017 - ANEXO XII</t>
  </si>
  <si>
    <t>Férias e Adicional de Férias  (Percentual obrigatório conforme Anexo XII - IN 5/17)</t>
  </si>
  <si>
    <t>9,075 % + 3,025 %</t>
  </si>
  <si>
    <t>Art. 7º, XVII, CF/88
INSTRUÇÃO NORMATIVA Nº 5, DE 26 DE MAIO DE 2017 - ANEXO XII</t>
  </si>
  <si>
    <t>TOTAL SUBMÓDULO 2.1</t>
  </si>
  <si>
    <t>Submódulo 2.2 - GPS, FGTS e Outras Contribuições</t>
  </si>
  <si>
    <t xml:space="preserve">INSS </t>
  </si>
  <si>
    <t>Art. 22, Inciso I, da Lei nº 8.212/91.</t>
  </si>
  <si>
    <t xml:space="preserve">Salário Educação </t>
  </si>
  <si>
    <t>Art.    3º,    Inciso    I,    Decreto    n.º 87.043/82.</t>
  </si>
  <si>
    <t>SAT (Seguro Acidente de Trabalho)</t>
  </si>
  <si>
    <t>RAT X FAP</t>
  </si>
  <si>
    <t>Lei n.º 8.212/91  e Decreto 6.957/2009</t>
  </si>
  <si>
    <t>SESC ou SESI</t>
  </si>
  <si>
    <t>Decreto n.º 2.318/86.</t>
  </si>
  <si>
    <t xml:space="preserve">SENAI - SENAC </t>
  </si>
  <si>
    <t>Lei n.º 7.787/89 e DL n.º 1.146/70.</t>
  </si>
  <si>
    <t xml:space="preserve">SEBRAE </t>
  </si>
  <si>
    <t xml:space="preserve">Art.  8º,  Lei  n.º  8.029/90  e  Lei  n.º 8.154/90. </t>
  </si>
  <si>
    <t>G</t>
  </si>
  <si>
    <t xml:space="preserve">INCRA </t>
  </si>
  <si>
    <t>H</t>
  </si>
  <si>
    <t xml:space="preserve">FGTS </t>
  </si>
  <si>
    <t>Art. 15, Lei nº 8.030/90 e Art. 7º, III, CF.</t>
  </si>
  <si>
    <t>TOTAL SUBMÓDULO 2.2</t>
  </si>
  <si>
    <t>Submódulo 2.3 - Benefícios Mensais e Diários</t>
  </si>
  <si>
    <t>Transporte (R$ 5,20 x 2 x 22 - 6% x SalBase)</t>
  </si>
  <si>
    <t>(VT x 22 dias x 2)- 6% s/ salário</t>
  </si>
  <si>
    <t>Lei Federal nº 7.418/1985, Decreto nº10.854/2021.</t>
  </si>
  <si>
    <t>Auxílio-Refeição/Alimentação [(R$ 30,0) x 22 x 95%]</t>
  </si>
  <si>
    <t>(VR x 22 dias)</t>
  </si>
  <si>
    <t>CCT 2024/25 (3.C2)</t>
  </si>
  <si>
    <t>Assistência médica</t>
  </si>
  <si>
    <t>CCT 2024/25 (24)</t>
  </si>
  <si>
    <t>Seguro de Vida</t>
  </si>
  <si>
    <t>CCT 2024/25 (18.IV)</t>
  </si>
  <si>
    <t>Outros (Lanche Manhã e Tarde)</t>
  </si>
  <si>
    <t>CCT 2024/25 (3.A e 3.B)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</si>
  <si>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</si>
  <si>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</si>
  <si>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</si>
  <si>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</si>
  <si>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</si>
  <si>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</si>
  <si>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</si>
  <si>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</si>
  <si>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</si>
  <si>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TOTAL DO MÓDULO 2</t>
  </si>
  <si>
    <t>MÓDULO 3 – PROVISÃO PARA RESCISÃO</t>
  </si>
  <si>
    <t>PROVISÃO PARA RESCISÃO</t>
  </si>
  <si>
    <t>Aviso Prévio Indenizado</t>
  </si>
  <si>
    <t>[(1/12)X5]=0,417%</t>
  </si>
  <si>
    <t>Art. 7º, XXI, CF/88, 477, 487 e 491 CLT. Estimativa de que 5% dos empregados serão substítuidos durante o ano.</t>
  </si>
  <si>
    <t>Incidência do FGTS sobre Aviso Prévio Indenizado</t>
  </si>
  <si>
    <t>(8% X 0,42%) = 0,03%</t>
  </si>
  <si>
    <t>Leis nºs 8.036/90 e 9.491/97.</t>
  </si>
  <si>
    <t xml:space="preserve">Aviso Prévio Trabalhado* </t>
  </si>
  <si>
    <t>{[(7/30)/12]x100} = 1,94%</t>
  </si>
  <si>
    <t>Art. 7º, XXI, CF/88, 477, 487 e 491 CLT. Redução de 7 dias ou 2 horas por dia.</t>
  </si>
  <si>
    <t>Incidência de GPS, FGTS e outras contribuições sobre o Aviso Prévio Trabalhado</t>
  </si>
  <si>
    <t>[(Total submódulo 2.2 x 1,94%) x 100]</t>
  </si>
  <si>
    <t>Multa sobre FGTS e contribuição social sobre o aviso prévio indenizado e sobre o aviso prévio trabalhado  (Alterado conforme Lei  nº  13.932/2019 )</t>
  </si>
  <si>
    <t>Retenção de 4% - Conta Vinculada</t>
  </si>
  <si>
    <t>Leis nºs 8.036/90, 9.491/97 e 13.932/2019.
INSTRUÇÃO NORMATIVA Nº 5, DE 26 DE MAIO DE 2017 - ANEXO XII.</t>
  </si>
  <si>
    <t>TOTAL DO MÓDULO 3</t>
  </si>
  <si>
    <t>Nota*</t>
  </si>
  <si>
    <t>De acordo com o entendimento do TCU no Acórdão nº 1.186/2017 - Plenário, a parcela mensal a título de aviso prévio trabalhado será no percentual máximo de 1,94% no primeiro ano, e, em caso de prorrogação do contrato, o percentual máximo dessa parcela será de 0,194% a cada ano de prorrogação, a ser incluído por ocasião da formulação do aditivo da prorrogação do contrato, conforme a Lei 12.506/2011.</t>
  </si>
  <si>
    <t>MÓDULO 4 – CUSTO DE REPOSIÇÃO DO PROFISSIONAL AUSENTE</t>
  </si>
  <si>
    <t>Submódulo 4.1 - Substituto nas Ausências Legais</t>
  </si>
  <si>
    <t>Substituto na cobertura de Férias</t>
  </si>
  <si>
    <t> (1/12/12) + (1/12/12) + (1/12/12/3)</t>
  </si>
  <si>
    <t>Art. 7º, VIII, CF/88- Dec. 57.115/65.
Férias, 13º e Adicional de 1/3</t>
  </si>
  <si>
    <t>Substituto na cobertura de Ausências Legais</t>
  </si>
  <si>
    <t>{[(1/30)/12]x100} = 0,277%</t>
  </si>
  <si>
    <t>Art. 473 da CLT. Estimativa de 1 ausênia por ano.</t>
  </si>
  <si>
    <t>Substituto na cobertura de Licença-Paternidade</t>
  </si>
  <si>
    <t>{[(5/30)/12]X0,015}X100=0,02%</t>
  </si>
  <si>
    <t>(Art. 7º, XIX, CFRB c/c art. 10, §1º. 
Estimativa de 1,5% dos funcionários usufruindo 5 dias da licença por ano.</t>
  </si>
  <si>
    <t>Substituto na cobertura de Ausência por acidente de trabalho</t>
  </si>
  <si>
    <t>{[(15/30)/12]x0,08}x100= 0,333%</t>
  </si>
  <si>
    <t>Art. 19 a 23 da Lei 8.213/91, ART. 473, CLT .
Estimativa de 1 licença de 15 dias por ano para 8% dos funcionários.</t>
  </si>
  <si>
    <t>Substituto na cobertura de Afastamento Maternidade</t>
  </si>
  <si>
    <t>[(4 x 8,33%) + (4 x 2,78%) / 12 x 2% = 0,07%</t>
  </si>
  <si>
    <t>Art. 7º, VIII, CF/88, Art. 392, CLT e Lei 11.770/2008. 
Estimativa de 2% dos empregados usufruindo de 4 meses de liceça por ano.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</si>
  <si>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</si>
  <si>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</si>
  <si>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</si>
  <si>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</si>
  <si>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</si>
  <si>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</si>
  <si>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</si>
  <si>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</si>
  <si>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Substituto nas Ausências Legais</t>
  </si>
  <si>
    <t>4.2</t>
  </si>
  <si>
    <t>Substituto na Intrajornada</t>
  </si>
  <si>
    <t>TOTAL DO MÓDULO 4</t>
  </si>
  <si>
    <t>MÓDULO 5 – INSUMOS DIVERSOS</t>
  </si>
  <si>
    <t>INSUMOS DIVERSOS</t>
  </si>
  <si>
    <t xml:space="preserve">Insumo dos Uniformes </t>
  </si>
  <si>
    <t>Equipamentos e Ferramentas</t>
  </si>
  <si>
    <t>TOTAL DO MÓDULO 5</t>
  </si>
  <si>
    <t>MÓDULO 6 – CUSTOS INDIRETOS, TRIBUTOS E LUCRO</t>
  </si>
  <si>
    <t>CUSTOS INDIRETOS, TRIBUTOS E LUCRO</t>
  </si>
  <si>
    <t>Custos Indiretos</t>
  </si>
  <si>
    <t>Referência Acórdão 2622/2013 do TCU. Aplica-se a alíquota do CI sobre o total dos custos diretos (somatório dos módulos 1 a 5)</t>
  </si>
  <si>
    <t>Lucro</t>
  </si>
  <si>
    <t>Referência Acórdão 2622/2013 do TCU. Aplica-se a alíquota do lucro sobre o somatório entre Custos Diretos e Custos Indiretos</t>
  </si>
  <si>
    <t>TRIBUTOS</t>
  </si>
  <si>
    <t>C.1</t>
  </si>
  <si>
    <t xml:space="preserve">PIS </t>
  </si>
  <si>
    <t>(CD + CI + Lucro)/(1 – total de Impostos)) x Alíquota do PIS</t>
  </si>
  <si>
    <t>C.2</t>
  </si>
  <si>
    <t xml:space="preserve">COFINS </t>
  </si>
  <si>
    <t>(CD + CI + Lucro)/(1 – total de Impostos)) x Alíquota do COFINS</t>
  </si>
  <si>
    <t>C.3</t>
  </si>
  <si>
    <t>ISS</t>
  </si>
  <si>
    <t>(CD + CI + Lucro)/(1 – total de Impostos)) x Alíquota do ISSQN.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</si>
  <si>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</si>
  <si>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</si>
  <si>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</si>
  <si>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</si>
  <si>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</si>
  <si>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</si>
  <si>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</si>
  <si>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</si>
  <si>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</si>
  <si>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</si>
  <si>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</si>
  <si>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</si>
  <si>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Categoria profissional: Oficial de Manutenção (edifícios)</t>
  </si>
  <si>
    <t>São Paulo/SP</t>
  </si>
  <si>
    <t>Referência SINTRACOM/São Paulo e SINDUSCON/São Paulo 2024/2025</t>
  </si>
  <si>
    <t>Transporte (R$ 4,83 x 2 x 22 - 6% x SalBase)</t>
  </si>
  <si>
    <t>(VA x 22 dias)</t>
  </si>
  <si>
    <t>Categoria profissional: Engenheiro Eletricista de Manutenção</t>
  </si>
  <si>
    <t>Referência SINAPI São Paulo Insumos - Setembro/2024</t>
  </si>
  <si>
    <t>Engenheiro Eletricista de Manutenção</t>
  </si>
  <si>
    <t>Horista</t>
  </si>
  <si>
    <t>2143-05</t>
  </si>
  <si>
    <t>Salário Nominativo da Categoria Profissional - SINAPI 90777</t>
  </si>
  <si>
    <t>Engenheiro Eletricista</t>
  </si>
  <si>
    <t>Valor remuneração para 8 horas mensais</t>
  </si>
  <si>
    <t>* A tabela SINAPI já inclui no valor da hora os encargos sociais e complementares do engenheiro horista, conforme Livro SINAPI Metodologias e Conceitos, 7ª Ed.</t>
  </si>
  <si>
    <t>Categoria profissional: Engenheiro Mecânico</t>
  </si>
  <si>
    <t>Engenheiro Mecânico</t>
  </si>
  <si>
    <t>2144-05</t>
  </si>
  <si>
    <t>Valor remuneração para 4 horas mensais</t>
  </si>
  <si>
    <t>VALOR DE REFERÊNCIA - MANUTENÇÃO AR CONDICIONADO</t>
  </si>
  <si>
    <t xml:space="preserve">Marca </t>
  </si>
  <si>
    <t>Modelo</t>
  </si>
  <si>
    <t>Capacidade Btu’s</t>
  </si>
  <si>
    <t>Quantidade</t>
  </si>
  <si>
    <t>Ar Condicionado SJC</t>
  </si>
  <si>
    <t>Intra</t>
  </si>
  <si>
    <t>Rofran</t>
  </si>
  <si>
    <t>VALOR DE REFERÊNCIA</t>
  </si>
  <si>
    <t>Mensal Unitário</t>
  </si>
  <si>
    <t xml:space="preserve">Mensal Total </t>
  </si>
  <si>
    <t>Mensal Total</t>
  </si>
  <si>
    <t>Total (20 meses)</t>
  </si>
  <si>
    <t xml:space="preserve">TCL </t>
  </si>
  <si>
    <t>TAC-09CSA INV</t>
  </si>
  <si>
    <t xml:space="preserve">FUJITSU </t>
  </si>
  <si>
    <t xml:space="preserve">ASBA12JC </t>
  </si>
  <si>
    <t xml:space="preserve">PHILCO </t>
  </si>
  <si>
    <t xml:space="preserve">PAC12000IQFM4 </t>
  </si>
  <si>
    <t xml:space="preserve">TAC-18CSA INV </t>
  </si>
  <si>
    <t xml:space="preserve">CONSUL </t>
  </si>
  <si>
    <t>CBG22EBBNA</t>
  </si>
  <si>
    <t>AOBG30LFTB</t>
  </si>
  <si>
    <t xml:space="preserve">AOBG45LBTA </t>
  </si>
  <si>
    <t xml:space="preserve">LG </t>
  </si>
  <si>
    <t xml:space="preserve">AV-W60GM2P0 </t>
  </si>
  <si>
    <t>TOTAL</t>
  </si>
  <si>
    <t>Nº</t>
  </si>
  <si>
    <t>QNT</t>
  </si>
  <si>
    <t>R$ REF.</t>
  </si>
  <si>
    <t>R$ TOTAL</t>
  </si>
  <si>
    <t>Alicate bomba d'água 10"</t>
  </si>
  <si>
    <t>Alicate cortador, descascador e desencapador de fio</t>
  </si>
  <si>
    <t>Alicate de bico ½ cano reto 6”</t>
  </si>
  <si>
    <t>Alicate de corte diagonal 6”</t>
  </si>
  <si>
    <t>Alicate de pressão 10</t>
  </si>
  <si>
    <t>Alicate para prensar terminais p/ fios e cabos 0,5 - 6mm.</t>
  </si>
  <si>
    <t>Alicate p/ rebite 1/8", 3/32", 5/32" e 3/16"mm  manual</t>
  </si>
  <si>
    <t>Alicate universal 8”</t>
  </si>
  <si>
    <t>Alicate Voltímetro Amperímetro Digital Cat. III- 600 V</t>
  </si>
  <si>
    <t>Alicate crimpador RJ 45</t>
  </si>
  <si>
    <t>Arco de serra manual 12"</t>
  </si>
  <si>
    <t>Bancada de trabalho dobrável e portátil</t>
  </si>
  <si>
    <t>Brocas Aço Rápido 1,0-10mm  (jogo)</t>
  </si>
  <si>
    <t>Caixa p/ ferramentas plástica - 19"</t>
  </si>
  <si>
    <t>Chave de fenda 7 peças (jogo)</t>
  </si>
  <si>
    <t>Chave Ajustável tipo Inglesa 15"</t>
  </si>
  <si>
    <t>Chave Ajustável tipo Inglesa 10"</t>
  </si>
  <si>
    <t>Chave Ajustável tipo Inglesa 8"</t>
  </si>
  <si>
    <t>Chave philips 5 peças (jogo)</t>
  </si>
  <si>
    <t>Chaves de grifo n° 08</t>
  </si>
  <si>
    <t>Chaves de grifo n° 10</t>
  </si>
  <si>
    <t>Chaves de grifo n° 14</t>
  </si>
  <si>
    <t>Decapador para cabos de rede.</t>
  </si>
  <si>
    <t>Desentupidor de esgotos, pias, ralos e banheiras</t>
  </si>
  <si>
    <t>Detector de Tensão 90 a 1000V AC</t>
  </si>
  <si>
    <t>Cavalete de sinalização "EM MANUTENÇÃO"</t>
  </si>
  <si>
    <t xml:space="preserve">Escada de aluminio de 7 degraus </t>
  </si>
  <si>
    <t>Espatula 6cm</t>
  </si>
  <si>
    <t>Estilete - cartucho com 10 lâminas</t>
  </si>
  <si>
    <t>Estilete profissional de metal (com lâmina de 18 mm para trabalho pesado com empunhadura de borracha anti-deslizante)</t>
  </si>
  <si>
    <t>Fasímetro</t>
  </si>
  <si>
    <t>Ferro de solda 100W.</t>
  </si>
  <si>
    <t>Furadeira elétrica, mandril até 3/8”</t>
  </si>
  <si>
    <t>Jogo completo de pintura, com pincel, Rolo e bandeja</t>
  </si>
  <si>
    <t>Jogo de chave ALLEN 1,5mm à 10mm.</t>
  </si>
  <si>
    <t>Jogo de Soquetes Sextavados 1/2  Profissional (Aço cromo vanádio temperado-Encaixe de 1/2"  20 Soquetes Sextavados (mm): 10 à 32mm) - 21 peças</t>
  </si>
  <si>
    <t>Jogo de Chaves Combinada com Catraca</t>
  </si>
  <si>
    <t>Jogo de chaves combinadas 6 à 32mm.</t>
  </si>
  <si>
    <t>Jogo de chaves Tork reta de T4 à T30.</t>
  </si>
  <si>
    <t>Jogo de Pincéis para retoque</t>
  </si>
  <si>
    <t>Lanterna recarregável de 07 leds.</t>
  </si>
  <si>
    <t>Lima chata 8”</t>
  </si>
  <si>
    <t>Lima redonda 6” bastarda</t>
  </si>
  <si>
    <t>Luva Anticorte em Fibra Dynema M Rev. PU Palma/Dedos Preto</t>
  </si>
  <si>
    <t>Localizador de cabos de rede (UTP 4 pares) e de cabos de telefonia.</t>
  </si>
  <si>
    <t>Luvas p/ eletricista de 500V classe 00 tipo 2</t>
  </si>
  <si>
    <t>Martelo unha</t>
  </si>
  <si>
    <t>Nível Alumínio 300mm - 2 Bolhas Cabo Metálico Base Magnética</t>
  </si>
  <si>
    <t>Parafusadeira velocidade variável 3/8''  12V, Bosh.</t>
  </si>
  <si>
    <t>Passa fios de Polipropileno/Aço Reforçado 20 metros</t>
  </si>
  <si>
    <t>Punch Down para inserção em terminais de rede RJ45.</t>
  </si>
  <si>
    <t>Rolo p/ pintura</t>
  </si>
  <si>
    <t>Sugador de solda</t>
  </si>
  <si>
    <t>Aplicador de Silicone</t>
  </si>
  <si>
    <t>Talhadeira 150 x 16mm</t>
  </si>
  <si>
    <t>Termômetro Digital Mira Laser 62 Max -10 ~ + 500ºC c/ emissividade ajustável</t>
  </si>
  <si>
    <t>Tesoura multiuso 8"</t>
  </si>
  <si>
    <t>Trena com trava, 5m 3/4"</t>
  </si>
  <si>
    <t>Martelo de Borracha</t>
  </si>
  <si>
    <t>Marreta 1 kg</t>
  </si>
  <si>
    <t>Torquesa 30 cm</t>
  </si>
  <si>
    <t>Extensão Elétrica 30 m</t>
  </si>
  <si>
    <t>Relógio de ponto com biometria homologado pelo MT</t>
  </si>
  <si>
    <t>Bolsa coletora de residuos saco de limpeza para ar condicionado split</t>
  </si>
  <si>
    <t>Borrifador pulverizador 1,5l p/ limpeza de ar condicionado</t>
  </si>
  <si>
    <t>Lavadora de alta pressão 1300 psi</t>
  </si>
  <si>
    <t>Paquímetro aço 150mm </t>
  </si>
  <si>
    <t>ESTIMATIVA DE GASTO TOTAL    </t>
  </si>
  <si>
    <t>1 - Manutenção equipamentos (gasto mensal) - adotado 0,5% a.m. (*)</t>
  </si>
  <si>
    <t>Valor residual</t>
  </si>
  <si>
    <t>2 - Depreciação de equiptos. (gasto mensal) adotado 8 anos e residual=20% (**)</t>
  </si>
  <si>
    <t>TOTAL MENSAL</t>
  </si>
  <si>
    <t>Quantidade de empregados p/ divisão (***)</t>
  </si>
  <si>
    <t>VALOR POR FUNCIONÁRIO A SER APLICADO NA PCFP</t>
  </si>
  <si>
    <r>
      <rPr>
        <sz val="8"/>
        <rFont val="Calibri"/>
        <family val="2"/>
        <charset val="1"/>
      </rPr>
      <t>* O coeficiente adotado foi de 6x10</t>
    </r>
    <r>
      <rPr>
        <vertAlign val="superscript"/>
        <sz val="8"/>
        <rFont val="Calibri"/>
        <family val="2"/>
        <charset val="1"/>
      </rPr>
      <t>-5</t>
    </r>
    <r>
      <rPr>
        <sz val="8"/>
        <rFont val="Calibri"/>
        <family val="2"/>
        <charset val="1"/>
      </rPr>
      <t>, com base no TCPO (Ed. Pini) para equipamentos de pequeno porte (~1,5HP), com utilização, em média, de 83 h/mês.</t>
    </r>
  </si>
  <si>
    <t>** A Depreciação foi obtida pelo (Valor inicial – Valor residual)/Vida útil em meses de utilização</t>
  </si>
  <si>
    <t>Descrição</t>
  </si>
  <si>
    <t>Qtd.  (und)</t>
  </si>
  <si>
    <t>Vida útil (meses)</t>
  </si>
  <si>
    <t>Custo unitário de referência</t>
  </si>
  <si>
    <t>Custo referência mensal por posto</t>
  </si>
  <si>
    <t>Camiseta de algodão manga curta</t>
  </si>
  <si>
    <t>Camiseta de algodão manga longa</t>
  </si>
  <si>
    <t>Calça jeans</t>
  </si>
  <si>
    <t>Meia (kit com 6 pares)</t>
  </si>
  <si>
    <t>Cinto de couro</t>
  </si>
  <si>
    <t>Botina de segurança sem biqueira de aço com bico de poliuretano</t>
  </si>
  <si>
    <t>Crachá com foto</t>
  </si>
  <si>
    <t>Conjunto calça e camisa com tratamento retardante de chamas e faixa refletiva</t>
  </si>
  <si>
    <t>VALOR POR POSTO (mensal)</t>
  </si>
  <si>
    <t>BDI CONVENCIONAL</t>
  </si>
  <si>
    <t>BDI DIFERENCIADO PARA MATERIAIS</t>
  </si>
  <si>
    <t>COMPOSIÇÃO DO BDI</t>
  </si>
  <si>
    <t>Médio</t>
  </si>
  <si>
    <t>Despesas indiretas (especificar cada item e %)</t>
  </si>
  <si>
    <t>A.1</t>
  </si>
  <si>
    <t xml:space="preserve">Administração central </t>
  </si>
  <si>
    <t>A.2</t>
  </si>
  <si>
    <t xml:space="preserve">Seguro + Garantia </t>
  </si>
  <si>
    <t>A.3</t>
  </si>
  <si>
    <t xml:space="preserve">Risco </t>
  </si>
  <si>
    <t>Total do grupo A</t>
  </si>
  <si>
    <t>Bonificação</t>
  </si>
  <si>
    <t>B.1</t>
  </si>
  <si>
    <t>Total do grupo B</t>
  </si>
  <si>
    <t>Impostos</t>
  </si>
  <si>
    <t>PIS</t>
  </si>
  <si>
    <t>COFINS</t>
  </si>
  <si>
    <t>ISSQN</t>
  </si>
  <si>
    <t>C.4</t>
  </si>
  <si>
    <t>CPRB - desoneração da folha</t>
  </si>
  <si>
    <t>Total do grupo C</t>
  </si>
  <si>
    <t>Despesas Financeiras (F)</t>
  </si>
  <si>
    <t>Despesas Financeiras (F) (especificar cada item e %)</t>
  </si>
  <si>
    <t>Total do Grupo D</t>
  </si>
  <si>
    <t xml:space="preserve">TOTAL GERAL </t>
  </si>
  <si>
    <t xml:space="preserve">Para definição do percentual de BDI foi utilizado os valores médios definidos para construção de edifícios no Acórdão 2.622/2013-P, tendo em vista o disposto no item 332 do referido instrumento que agrupou no mesmo BDI obras de construção e reforma de edifícios. </t>
  </si>
  <si>
    <t xml:space="preserve">Para definição do percentual de BDI foi utilizado os valores médios definidos para mero fornecimento de materiais e equipamentos no Acórdão 2.622/2013-P. </t>
  </si>
  <si>
    <t>UNID</t>
  </si>
  <si>
    <t>QNT/ANO</t>
  </si>
  <si>
    <t xml:space="preserve">R$ UNIT </t>
  </si>
  <si>
    <t xml:space="preserve">R$ TOTAL </t>
  </si>
  <si>
    <t>CÓDIGO</t>
  </si>
  <si>
    <t>FONTE DE REFERÊNCIA</t>
  </si>
  <si>
    <t>1.</t>
  </si>
  <si>
    <t>DIVERSOS</t>
  </si>
  <si>
    <t>1.1</t>
  </si>
  <si>
    <t>ADESIVO ACRILICO/COLA DE CONTATO</t>
  </si>
  <si>
    <t>KG</t>
  </si>
  <si>
    <t>SINAPI - 09/2024</t>
  </si>
  <si>
    <t>1.2</t>
  </si>
  <si>
    <t>BATERIA 18 OU 17 AH, 12VDC (PARA NO-BREAK)</t>
  </si>
  <si>
    <t>UND</t>
  </si>
  <si>
    <t>PESQUISA</t>
  </si>
  <si>
    <t>1.3</t>
  </si>
  <si>
    <t>BATERIA ALCALINA 9V (UND)</t>
  </si>
  <si>
    <t>1.4</t>
  </si>
  <si>
    <t>BUCHA DE NYLON SEM ABA S10, COM PARAFUSO DE 6,10 X 65 MM EM ACO ZINCADO COM ROSCA SOBERBA, CABECA CHATA E FENDA PHILLIPS</t>
  </si>
  <si>
    <t>1.5</t>
  </si>
  <si>
    <t>BUCHA DE NYLON SEM ABA S12, COM PARAFUSO DE 5/16" X 80 MM EM ACO ZINCADO COM ROSCA SOBERBA E CABECA SEXTAVADA</t>
  </si>
  <si>
    <t>1.6</t>
  </si>
  <si>
    <t xml:space="preserve">BUCHA DE NYLON SEM ABA S6, COM PARAFUSO DE 4,20 X 40 MM EM ACO ZINCADO COM ROSCA SOBERBA, CABECA CHATA E FENDA PHILLIPS </t>
  </si>
  <si>
    <t>1.7</t>
  </si>
  <si>
    <t>BUCHA DE NYLON SEM ABA S8, COM PARAFUSO DE 4,80 X 50 MM EM ACO ZINCADO COM ROSCA SOBERBA, CABECA CHATA E FENDA PHILLIPS</t>
  </si>
  <si>
    <t>1.8</t>
  </si>
  <si>
    <t>CABO DE REDE RJ-45 CAT 6</t>
  </si>
  <si>
    <t>M</t>
  </si>
  <si>
    <t>1.9</t>
  </si>
  <si>
    <t>Cabo Extensor Amplificado USB 2.0 20 METROS (1)</t>
  </si>
  <si>
    <t>1.10</t>
  </si>
  <si>
    <t>Cabo Extensor Usb-C 4K 60Hz, Para Transferência De Dados, 10 Gbps 2 MT (und)</t>
  </si>
  <si>
    <t>1.11</t>
  </si>
  <si>
    <t>CABO HDMI 10m, BLINDADO</t>
  </si>
  <si>
    <t>1.12</t>
  </si>
  <si>
    <t>CABO HDMI 20m, BLINDADO</t>
  </si>
  <si>
    <t>1.13</t>
  </si>
  <si>
    <t>CABO HDMI 5m, BLINDADO</t>
  </si>
  <si>
    <t>1.14</t>
  </si>
  <si>
    <t>CADEADO SIMPLES/COMUM, EM LATAO MACICO CROMADO, LARGURA DE 25 MM, HASTE DE ACO TEMPERADO, CEMENTADO (NAO LONGA), INCLUI 2 CHAVES</t>
  </si>
  <si>
    <t>1.15</t>
  </si>
  <si>
    <t>CAIXA DE MASSA DE CALAFETAR EM FILETE CINZA</t>
  </si>
  <si>
    <t>1.16</t>
  </si>
  <si>
    <t>CÂMERA CFTV IP, PoE ativo, Ref.  VIP 1230 D G4 (Intelbras) ou compatível</t>
  </si>
  <si>
    <t>1.17</t>
  </si>
  <si>
    <t>Carpete Belgotex, modelo modular Interlude, cor laguna</t>
  </si>
  <si>
    <t>caixa 5 M²</t>
  </si>
  <si>
    <t>1.18</t>
  </si>
  <si>
    <t>Cola TAC permanente para carpete modular galão 3,5Kg</t>
  </si>
  <si>
    <t>1.19</t>
  </si>
  <si>
    <t xml:space="preserve">CONECTOR /FÊMEA RJ-45 CAT 6 FURUKAWA OU SIMILAR </t>
  </si>
  <si>
    <t>1.20</t>
  </si>
  <si>
    <t>CONECTOR MACHO RJ-45 CAT 6 FURUKAWA OU SIMILAR, COM CAPA</t>
  </si>
  <si>
    <t>1.21</t>
  </si>
  <si>
    <t>Elemento filtrante compatível com Purificador LATINA PA355</t>
  </si>
  <si>
    <t>1.22</t>
  </si>
  <si>
    <t xml:space="preserve">Fita adesiva silver tape, 3M 45mmx5mm </t>
  </si>
  <si>
    <t>1.23</t>
  </si>
  <si>
    <t>Fita Dupla Face  25mm x 2 m - Scotch - 3M ou similar</t>
  </si>
  <si>
    <t>1.24</t>
  </si>
  <si>
    <t>Fita Dupla Face 12,7mm x 6,3 m - Scotch - 3M ou similar</t>
  </si>
  <si>
    <t>1.25</t>
  </si>
  <si>
    <t>FITA ISOLANTE ADESIVA ANTICHAMA, USO ATE 750 V, EM ROLO DE 19 MM X 20 M</t>
  </si>
  <si>
    <t>RL</t>
  </si>
  <si>
    <t>1.26</t>
  </si>
  <si>
    <t>GESSO EM PO PARA REVESTIMENTOS/MOLDURAS/SANCAS</t>
  </si>
  <si>
    <t>1.27</t>
  </si>
  <si>
    <t>GRAXA LUBRIFICANTE</t>
  </si>
  <si>
    <t>1.28</t>
  </si>
  <si>
    <t>LIXA EM FOLHA PARA FERRO, NUMERO 150</t>
  </si>
  <si>
    <t>1.29</t>
  </si>
  <si>
    <t>LIXA EM FOLHA PARA PAREDE OU MADEIRA, NUMERO 120 (COR VERMELHA)</t>
  </si>
  <si>
    <t>1.30</t>
  </si>
  <si>
    <t>MASSA EPOXI BICOMPONENTE PARA REPAROS</t>
  </si>
  <si>
    <t>1.31</t>
  </si>
  <si>
    <t>MASSA PLASTICA PARA MARMORE/GRANITO</t>
  </si>
  <si>
    <t>1.32</t>
  </si>
  <si>
    <t>PARAFUSO DE ACO ZINCADO COM ROSCA SOBERBA, CABECA CHATA E FENDA SIMPLES, DIAMETRO 4,2 MM, COMPRIMENTO * 32 * MM</t>
  </si>
  <si>
    <t>1.33</t>
  </si>
  <si>
    <t>PARAFUSO DRY WALL, EM ACO ZINCADO, CABECA LENTILHA E PONTA AGULHA (LA), LARGURA 4,2 MM, COMPRIMENTO 13 MM</t>
  </si>
  <si>
    <t xml:space="preserve">UN    </t>
  </si>
  <si>
    <t>1.34</t>
  </si>
  <si>
    <t>PARAFUSO ROSCA SOBERBA ZINCADO CABECA CHATA FENDA SIMPLES 3,5 X 25 MM (1 ")</t>
  </si>
  <si>
    <t>1.35</t>
  </si>
  <si>
    <t>PARAFUSO ROSCA SOBERBA ZINCADO CABECA CHATA FENDA SIMPLES 4,8 X 40 MM (1.1/2 ")</t>
  </si>
  <si>
    <t>1.36</t>
  </si>
  <si>
    <t>PARAFUSO ROSCA SOBERBA ZINCADO CABECA CHATA FENDA SIMPLES 5,5 X 50 MM (2 ")</t>
  </si>
  <si>
    <t>1.37</t>
  </si>
  <si>
    <t>PARAFUSO ZINCADO, SEXTAVADO, COM ROSCA INTEIRA, DIAMETRO 1/4", COMPRIMENTO 1/2"</t>
  </si>
  <si>
    <t>1.38</t>
  </si>
  <si>
    <t>PATCH CORD, CATEGORIA 6, EXTENSAO DE 1,50 M</t>
  </si>
  <si>
    <t>1.39</t>
  </si>
  <si>
    <t>PATCH CORD, CATEGORIA 6, EXTENSAO DE 2,50 M</t>
  </si>
  <si>
    <t>1.40</t>
  </si>
  <si>
    <t>PILHA ALCALINA AAA Duracell ou similar - Pacote com 2 unidades (Pct)</t>
  </si>
  <si>
    <t>1.41</t>
  </si>
  <si>
    <t>PLACA DE GESSO PARA FORRO, DE *60 X 60* CM E ESPESSURA DE 12 MM (30 MM NAS BORDAS) SEM COLOCACAO</t>
  </si>
  <si>
    <t>M²</t>
  </si>
  <si>
    <t>1.42</t>
  </si>
  <si>
    <t>SELANTE ELASTICO MONOCOMPONENTE A BASE DE POLIURETANO PARA JUNTAS DIVERSAS - 310ML</t>
  </si>
  <si>
    <t>1.43</t>
  </si>
  <si>
    <t>SILICONE ACETICO USO GERAL INCOLOR 280 G  TRANSPARENTE - 280G</t>
  </si>
  <si>
    <t>1.44</t>
  </si>
  <si>
    <t>SODA CAUSTICA</t>
  </si>
  <si>
    <t>1.45</t>
  </si>
  <si>
    <t>SPRAY DESENGRIPANTE E ANTIFERRUGEM (300 ML)</t>
  </si>
  <si>
    <t>1.46</t>
  </si>
  <si>
    <t>SPRAY LIMPA CONTATO (DE 210 A 300 ML)</t>
  </si>
  <si>
    <t>1.47</t>
  </si>
  <si>
    <t>SUPORTE PARA TV TETO 10-55 POL. (UND)</t>
  </si>
  <si>
    <t xml:space="preserve">Subtotal Diversos </t>
  </si>
  <si>
    <t>2.</t>
  </si>
  <si>
    <t>ELÉTRICA</t>
  </si>
  <si>
    <t>ABRACADEIRA DE NYLON PARA AMARRACAO DE CABOS, COMPRIMENTO DE 100 X 2,5 MM</t>
  </si>
  <si>
    <t>SINAPI-09/2024</t>
  </si>
  <si>
    <t>ABRACADEIRA EM ACO PARA AMARRACAO DE ELETRODUTOS, TIPO D, COM 1" E PARAFUSO DE FIXACAO</t>
  </si>
  <si>
    <t>ABRACADEIRA EM ACO PARA AMARRACAO DE ELETRODUTOS, TIPO D, COM 1/2" E PARAFUSO DE FIXACAO</t>
  </si>
  <si>
    <t>2.4</t>
  </si>
  <si>
    <t>ADAPTADOR TOMADAS NBR/ 2P+T NEMA 10A/15A - 250 V (REF: INJETEL OU SIMILAR)</t>
  </si>
  <si>
    <t>PESQUISAS</t>
  </si>
  <si>
    <t>2.5</t>
  </si>
  <si>
    <t xml:space="preserve">CABO DE COBRE, FLEXIVEL, CLASSE 4 OU 5, ISOLACAO EM PVC/A, 450/750V, ANTICHAMA BWF-B, 1,5 MM2 </t>
  </si>
  <si>
    <t>2.6</t>
  </si>
  <si>
    <t xml:space="preserve">CABO DE COBRE, FLEXIVEL, CLASSE 4 OU 5, ISOLACAO EM PVC/A, 450/750V, ANTICHAMA BWF-B, 10 MM2 </t>
  </si>
  <si>
    <t>2.7</t>
  </si>
  <si>
    <t>CABO DE COBRE, FLEXIVEL, CLASSE 4 OU 5, ISOLACAO EM PVC/A, 450/750V, ANTICHAMA BWF-B, 2,5MM2</t>
  </si>
  <si>
    <t>2.8</t>
  </si>
  <si>
    <t xml:space="preserve">CABO DE COBRE, FLEXIVEL, CLASSE 4 OU 5, ISOLACAO EM PVC/A, 450/750V, ANTICHAMA BWF-B, 4 MM2 </t>
  </si>
  <si>
    <t>2.9</t>
  </si>
  <si>
    <t xml:space="preserve">CABO DE COBRE, FLEXIVEL, CLASSE 4 OU 5, ISOLACAO EM PVC/A, 450/750V, ANTICHAMA BWF-B, 6 MM2 </t>
  </si>
  <si>
    <t>2.10</t>
  </si>
  <si>
    <t>CABO MULTIPOLAR DE COBRE, FLEXIVEL, CLASSE 4 OU 5, ISOLACAO EM HEPR, COBERTURA EM PVC-ST2, ANTICHAMA BWF-B, 0,6/1 KV, 3 CONDUTORES DE 4 MM²</t>
  </si>
  <si>
    <t xml:space="preserve">M     </t>
  </si>
  <si>
    <t>2.11</t>
  </si>
  <si>
    <t>CABO PP 750V/70°C/NBR-13249 4 X 2,5 MM²</t>
  </si>
  <si>
    <t>2.12</t>
  </si>
  <si>
    <t>CANALETA DE PISO DUAS DIVISÕES INTERNAS 50X20X2000 - COR CINZA (UND)</t>
  </si>
  <si>
    <t>2.13</t>
  </si>
  <si>
    <t>CANALETA PVC SISTEMA "X" 20 X 12 X 2000MM (BARRA COM 2M, COM OU SEM DIVISÓRIA INTERNA) (REF.: PIAL LEGRAND OU SIMILAR)</t>
  </si>
  <si>
    <t>2.14</t>
  </si>
  <si>
    <t>CAPACITOR 30µF 450V 60HZ (UND)</t>
  </si>
  <si>
    <t>2.15</t>
  </si>
  <si>
    <t>CONTATOR TRIPOLAR DE POTENCIA 12A (500V) CATEGORIA AC-2 E AC-3</t>
  </si>
  <si>
    <t>2.16</t>
  </si>
  <si>
    <t xml:space="preserve">CONTATOR TRIPOLAR, CORRENTE DE 25 A, TENSAO NOMINAL DE *500* V, CATEGORIA AC-2  AC-3 </t>
  </si>
  <si>
    <t>2.17</t>
  </si>
  <si>
    <t xml:space="preserve">CONTATOR TRIPOLAR, CORRENTE DE 32 A, TENSAO NOMINAL DE *500* V, CATEGORIA AC-2 E AC-3 </t>
  </si>
  <si>
    <t>2.18</t>
  </si>
  <si>
    <t xml:space="preserve">CONTATOR TRIPOLAR, CORRENTE DE 45 A, TENSAO NOMINAL DE *500* V, CATEGORIA AC-2 E AC-3 </t>
  </si>
  <si>
    <t>2.19</t>
  </si>
  <si>
    <t xml:space="preserve">CONTATOR TRIPOLAR, CORRENTE DE 75 A, TENSAO NOMINAL DE *500* V, CATEGORIA AC-2 E AC-3 </t>
  </si>
  <si>
    <t>2.20</t>
  </si>
  <si>
    <t>DISJUNTOR DR BIPOLAR 25A/30MA (REF.: STECK OU SIMILAR)</t>
  </si>
  <si>
    <t>2.21</t>
  </si>
  <si>
    <t>DISJUNTOR TIPO DIN / IEC, MONOPOLAR DE 40 ATE 50A</t>
  </si>
  <si>
    <t>2.22</t>
  </si>
  <si>
    <t>DISJUNTOR TIPO DIN/IEC, BIPOLAR 40 ATE 50A</t>
  </si>
  <si>
    <t>2.23</t>
  </si>
  <si>
    <t>DISJUNTOR TIPO DIN/IEC, BIPOLAR 63 A</t>
  </si>
  <si>
    <t>2.24</t>
  </si>
  <si>
    <t>DISJUNTOR TIPO DIN/IEC, BIPOLAR DE 6 ATE 32A</t>
  </si>
  <si>
    <t>2.25</t>
  </si>
  <si>
    <t>DISJUNTOR TIPO DIN/IEC, MONOPOLAR DE 6 ATE 32A</t>
  </si>
  <si>
    <t>2.26</t>
  </si>
  <si>
    <t>DISJUNTOR TIPO DIN/IEC, MONOPOLAR DE 63 A</t>
  </si>
  <si>
    <t>2.27</t>
  </si>
  <si>
    <t>DISJUNTOR TIPO DIN/IEC, TRIPOLAR DE 10 ATE 50A</t>
  </si>
  <si>
    <t>2.28</t>
  </si>
  <si>
    <t>DISJUNTOR TIPO DIN/IEC, TRIPOLAR DE 63A</t>
  </si>
  <si>
    <t>2.29</t>
  </si>
  <si>
    <t>DISPOSITIVO DR, 2 POLOS, SENSIBILIDADE DE 30 MA, CORRENTE DE 40 A, TIPO AC</t>
  </si>
  <si>
    <t>2.30</t>
  </si>
  <si>
    <t>DISPOSITIVO DR, 4 POLOS, SENSIBILIDADE DE 30 MA, CORRENTE DE 40 A, TIPO AC</t>
  </si>
  <si>
    <t>2.31</t>
  </si>
  <si>
    <t xml:space="preserve">DRIVER PARA LAMPADA LED TUBULAR T5 10W </t>
  </si>
  <si>
    <t>2.32</t>
  </si>
  <si>
    <t xml:space="preserve">DRIVER PARA LAMPADA LED TUBULAR T5 20W </t>
  </si>
  <si>
    <t>2.33</t>
  </si>
  <si>
    <t>ELETRODUTO PVC FLEXIVEL CORRUGADO 16MM TIPO TIGREFLEX OU EQUIV</t>
  </si>
  <si>
    <t>2.34</t>
  </si>
  <si>
    <t>ELETRODUTO PVC FLEXIVEL CORRUGADO 20MM TIPO TIGREFLEX OU EQUIV</t>
  </si>
  <si>
    <t>2.35</t>
  </si>
  <si>
    <t>ELETRODUTO/CONDULETE DE PVC RIGIDO, LISO, COR BRANCO, DE 3/4" (M)</t>
  </si>
  <si>
    <t>2.36</t>
  </si>
  <si>
    <t>ESPELHO / PLACA DE 2 POSTOS 4" X 4", PARA INSTALACAO DE TOMADAS E INTERRUPTORES</t>
  </si>
  <si>
    <t>2.37</t>
  </si>
  <si>
    <t>ILUMINAÇÃO DE EMERGÊNCIA LED 1.200 LUMENS 2 FÁROIS (UND)</t>
  </si>
  <si>
    <t>2.38</t>
  </si>
  <si>
    <t>INTERRUPTOR BIPOLAR SIMPLES 10 A, 250 V (APENAS MODULO)</t>
  </si>
  <si>
    <t>2.39</t>
  </si>
  <si>
    <t>INTERRUPTOR INTERMEDIARIO 10 A, 250 V (APENAS MODULO)</t>
  </si>
  <si>
    <t>2.40</t>
  </si>
  <si>
    <t>INTERRUPTOR PARALELO + TOMADA 2P+T 10A, 250V, CONJUNTO MONTADO PARA EMBUTIR 4" X 2" (PLACA + SUPORTE + MODULOS)</t>
  </si>
  <si>
    <t>2.41</t>
  </si>
  <si>
    <t>INTERRUPTOR PARALELO 10A, 250V (APENAS MODULO)</t>
  </si>
  <si>
    <t>2.42</t>
  </si>
  <si>
    <t>INTERRUPTOR PARALELO 10A, 250V, CONJUNTO MONTADO PARA EMBUTIR 4" X 2" (PLACA + SUPORTE + MODULO)</t>
  </si>
  <si>
    <t>2.43</t>
  </si>
  <si>
    <t>INTERRUPTOR SIMPLES + INTERRUPTOR PARALELO + TOMADA 2P+T 10A, 250V, CONJUNTO MONTADO PARA EMBUTIR 4" X 2" (PLACA + SUPORTE + MODULOS)</t>
  </si>
  <si>
    <t>2.44</t>
  </si>
  <si>
    <t>INTERRUPTOR SIMPLES + INTERRUPTOR PARALELO 10A, 250V, CONJUNTO MONTADO PARA EMBUTIR 4" X 2" (PLACA + SUPORTE + MODULOS)</t>
  </si>
  <si>
    <t>2.45</t>
  </si>
  <si>
    <t>INTERRUPTOR SIMPLES + TOMADA 2P+T 10A, 250V, CONJUNTO MONTADO PARA EMBUTIR 4" X 2" (PLACA + SUPORTE + MODULOS)</t>
  </si>
  <si>
    <t>2.46</t>
  </si>
  <si>
    <t>INTERRUPTOR SIMPLES 10A, 250V (APENAS MODULO)</t>
  </si>
  <si>
    <t>2.47</t>
  </si>
  <si>
    <t>INTERRUPTOR SIMPLES 10A, 250V, CONJUNTO MONTADO PARA EMBUTIR 4" X 2" (PLACA + SUPORTE + MODULO)</t>
  </si>
  <si>
    <t>2.48</t>
  </si>
  <si>
    <t>INTERRUPTORES PARALELOS (2 MODULOS) 10A, 250V, CONJUNTO MONTADO PARA EMBUTIR 4" X 2" (PLACA + SUPORTE + MODULOS)</t>
  </si>
  <si>
    <t>2.49</t>
  </si>
  <si>
    <t>INTERRUPTORES PARALELOS (3 MODULOS) 10A, 250V, CONJUNTO MONTADO PARA EMBUTIR 4" X 2" (PLACA + SUPORTE + MODULO)</t>
  </si>
  <si>
    <t>2.50</t>
  </si>
  <si>
    <t>INTERRUPTORES SIMPLES (2 MODULOS) + TOMADA 2P+T 10A, 250V, CONJUNTO MONTADO PARA EMBUTIR 4" X 2" (PLACA + SUPORTE + MODULOS)</t>
  </si>
  <si>
    <t>2.51</t>
  </si>
  <si>
    <t>INTERRUPTORES SIMPLES (2 MODULOS) 10A, 250V, CONJUNTO MONTADO PARA EMBUTIR 4" X 2" (PLACA + SUPORTE + MODULOS)</t>
  </si>
  <si>
    <t>2.52</t>
  </si>
  <si>
    <t>INTERRUPTORES SIMPLES (3 MODULOS) 10A, 250V, CONJUNTO MONTADO PARA EMBUTIR 4" X 2" (PLACA + SUPORTE + MODULOS)</t>
  </si>
  <si>
    <t>2.53</t>
  </si>
  <si>
    <t>LAMPADA LED 9/10W BIVOLT BRANCA, FORMATO TRADICIONAL (BASE E27)</t>
  </si>
  <si>
    <t>2.54</t>
  </si>
  <si>
    <t>LAMPADA LED TIPO DICROICA BIVOLT, LUZ BRANCA, 5W, BASE GU10</t>
  </si>
  <si>
    <t>2.55</t>
  </si>
  <si>
    <t>LAMPADA LED TUBULAR 115/1120CM T5 18/20W 6500K</t>
  </si>
  <si>
    <t>2.56</t>
  </si>
  <si>
    <t xml:space="preserve">LAMPADA LED TUBULAR 55/60CM T5 9/10W 6500K </t>
  </si>
  <si>
    <t>2.57</t>
  </si>
  <si>
    <t>Lâmpada super LED Par 30 12w BIV 6500K</t>
  </si>
  <si>
    <t>2.58</t>
  </si>
  <si>
    <t>Painel de LED de Embutir 18W diâmetro 24cm</t>
  </si>
  <si>
    <t>2.59</t>
  </si>
  <si>
    <t>Painel Redondo Branco de LED de Embutir 20W diâmetro 29,8cm</t>
  </si>
  <si>
    <t>2.60</t>
  </si>
  <si>
    <t>PLAFON LED EMBUTIR 25W</t>
  </si>
  <si>
    <t>2.61</t>
  </si>
  <si>
    <t>PLUG FEMEA 3 PINOS 10A, NBR14136 57402/153</t>
  </si>
  <si>
    <t>2.62</t>
  </si>
  <si>
    <t>PLUG FEMEA 3 PINOS 20A, NBR14136 57402/153</t>
  </si>
  <si>
    <t>2.63</t>
  </si>
  <si>
    <t>PLUG MACHO 3 PINOS 10A, NBR14136 57402/153</t>
  </si>
  <si>
    <t>2.64</t>
  </si>
  <si>
    <t>PLUG MACHO 3 PINOS 20A, NBR14136 57402/153</t>
  </si>
  <si>
    <t>2.65</t>
  </si>
  <si>
    <t>SOQUETE DE BAQUELITE BASE E27, PARA LAMPADAS</t>
  </si>
  <si>
    <t>2.66</t>
  </si>
  <si>
    <t>SOQUETE DE PORCELANA BASE E27, FIXO DE TETO, PARA LAMPADAS</t>
  </si>
  <si>
    <t>2.67</t>
  </si>
  <si>
    <t>SOQUETE PARA LÂMPADA T5</t>
  </si>
  <si>
    <t>2.68</t>
  </si>
  <si>
    <t>TERMINAL A COMPRESSAO EM COBRE ESTANHADO PARA CABO 4 MM2, 1 FURO E 1 COMPRESSAO, PARA PARAFUSO DE FIXACAO M5</t>
  </si>
  <si>
    <t>2.69</t>
  </si>
  <si>
    <t>TERMINAL A COMPRESSAO EM COBRE ESTANHADO PARA CABO 6 MM2, 1 FURO E 1 COMPRESSAO, PARA PARAFUSO DE FIXACAO M6</t>
  </si>
  <si>
    <t>2.70</t>
  </si>
  <si>
    <t>TIMER TEMPORIZADOR DIGITAL COEL BWT-40HRR (UND)</t>
  </si>
  <si>
    <t>2.71</t>
  </si>
  <si>
    <t>TOMADA 2P+T 10A, 250V  (APENAS MODULO)</t>
  </si>
  <si>
    <t>2.72</t>
  </si>
  <si>
    <t>TOMADA 2P+T 10A, 250V, CONJUNTO MONTADO PARA EMBUTIR 4" X 2" (PLACA + SUPORTE + MODULO)</t>
  </si>
  <si>
    <t>2.73</t>
  </si>
  <si>
    <t>TOMADA 2P+T 10A, 250V, CONJUNTO MONTADO PARA SOBREPOR 4" X 2" (CAIXA + MODULO)</t>
  </si>
  <si>
    <t>2.74</t>
  </si>
  <si>
    <t>TOMADA 2P+T 20A 250V, CONJUNTO MONTADO PARA EMBUTIR 4" X 2" (PLACA + SUPORTE + MODULO)</t>
  </si>
  <si>
    <t>2.75</t>
  </si>
  <si>
    <t>TOMADA 2P+T 20A, 250V  (APENAS MODULO)</t>
  </si>
  <si>
    <t>2.76</t>
  </si>
  <si>
    <t>TOMADA RJ11, 2 FIOS (APENAS MODULO)</t>
  </si>
  <si>
    <t>2.77</t>
  </si>
  <si>
    <t>TOMADA RJ45, 8 FIOS, CAT 5E (APENAS MODULO)</t>
  </si>
  <si>
    <t>2.78</t>
  </si>
  <si>
    <t>Tomada Sistema X 10 A - Pial Legrand (UND)</t>
  </si>
  <si>
    <t>2.79</t>
  </si>
  <si>
    <t>TOMADAS (2 MODULOS) 2P+T 10A, 250V, CONJUNTO MONTADO PARA EMBUTIR 4" X 2" (PLACA + SUPORTE + MODULOS)</t>
  </si>
  <si>
    <t>2.80</t>
  </si>
  <si>
    <t>Subtotal de Elétrica</t>
  </si>
  <si>
    <t>3.</t>
  </si>
  <si>
    <t>MATERIAIS HIDROSSANITÁRIOS</t>
  </si>
  <si>
    <t>3.1</t>
  </si>
  <si>
    <t>ANEL DE VEDACAO, PVC FLEXIVEL, 100 MM, PARA SAIDA DE BACIA / VASO SANITARIO</t>
  </si>
  <si>
    <t>3.2</t>
  </si>
  <si>
    <t>ASSENTO PLÁSTICO SLOW CLOSE DECA, CÓD. AP165.17 (UND)</t>
  </si>
  <si>
    <t>3.3</t>
  </si>
  <si>
    <t>ASSENTO SANITARIO DE PLASTICO, TIPO CONVENCIONAL</t>
  </si>
  <si>
    <t>3.4</t>
  </si>
  <si>
    <t>CAPS 90 ADAPTADOR PARA MANGUEIRA DE BEBEDOURO 3/4" (UND)</t>
  </si>
  <si>
    <t>3.5</t>
  </si>
  <si>
    <t>DUCHA HIGIENICA PLASTICA COM REGISTRO METALICO 1/2"</t>
  </si>
  <si>
    <t>3.6</t>
  </si>
  <si>
    <t>ENGATE/RABICHO/MANGUEIRA FLEXIVEL EM METAL CROMADO 1/2" X 40CM (UND)</t>
  </si>
  <si>
    <t>3.7</t>
  </si>
  <si>
    <t>FITA VEDA ROSCA EM ROLOS DE 18 MM X 50 M (L X C)</t>
  </si>
  <si>
    <t>3.8</t>
  </si>
  <si>
    <t>GRELHA PVC CROMADA REDONDA 150MM</t>
  </si>
  <si>
    <t>3.9</t>
  </si>
  <si>
    <t>KIT COMPLETO PARA CAIXA ACOPLADA - Deca ou similar (UND)</t>
  </si>
  <si>
    <t>3.10</t>
  </si>
  <si>
    <t>MANGUEIRA PARA BEBEDOURO 1/4" (M)</t>
  </si>
  <si>
    <t>3.11</t>
  </si>
  <si>
    <t>REGISTRO REGULADOR DE Vazão DOCOL, PLÁSTICO ABS CINZA, Cód. 13030023</t>
  </si>
  <si>
    <t>3.12</t>
  </si>
  <si>
    <t>REPARO DECA DECAMACATIC, CÓD. 4686.001</t>
  </si>
  <si>
    <t>3.13</t>
  </si>
  <si>
    <t>SIFAO EM METAL CROMADO PARA PIA AMERICANA, 1.1/2 X 2 "</t>
  </si>
  <si>
    <t>3.14</t>
  </si>
  <si>
    <t>SIFAO EM METAL CROMADO PARA PIA OU LAVATORIO, 1 X 1.1/2 "</t>
  </si>
  <si>
    <t>3.15</t>
  </si>
  <si>
    <t>SIFAO PLASTICO TIPO COPO PARA PIA AMERICANA 1.1/2 X 1.1/2 "</t>
  </si>
  <si>
    <t>3.16</t>
  </si>
  <si>
    <t>TORNEIRA CROMADA DE MESA PARA COZINHA BICA MOVEL COM AREJADOR 1/2 " OU 3/4"</t>
  </si>
  <si>
    <t>3.17</t>
  </si>
  <si>
    <t>TORNEIRA CROMADA DE PAREDE PARA COZINHA BICA MOVEL COM AREJADOR 1/2 " OU 3/4 " (REF 1168)</t>
  </si>
  <si>
    <t>3.18</t>
  </si>
  <si>
    <t>TORNEIRA DECAMATIC 1173 (UND)</t>
  </si>
  <si>
    <t>3.19</t>
  </si>
  <si>
    <t>TORRE DE ENTRADA PARA CAIXA ACOPLADA DECA/UNIVERSAL (UND)</t>
  </si>
  <si>
    <t xml:space="preserve">Subtotal de Hidrossanitários </t>
  </si>
  <si>
    <t>4.</t>
  </si>
  <si>
    <t>MARCENARIA</t>
  </si>
  <si>
    <t>COLA A BASE DE RESINA SINTETICA PARA CHAPA DE LAMINADO MELAMINICO</t>
  </si>
  <si>
    <t>COLA BRANCA BASE PVA</t>
  </si>
  <si>
    <t>L</t>
  </si>
  <si>
    <t>FORRO FIBRA MINERAL ARMSTRONG SCALA LAY IN 1250 X 625 X 14MM (CAIXA)</t>
  </si>
  <si>
    <t>CX</t>
  </si>
  <si>
    <t>Subtotal de Marcenaria</t>
  </si>
  <si>
    <t>5.</t>
  </si>
  <si>
    <t>CIVIL E PINTURA</t>
  </si>
  <si>
    <t>5.1</t>
  </si>
  <si>
    <t>ARGAMASSA COLANTE AC I PARA CERAMICAS</t>
  </si>
  <si>
    <t>5.2</t>
  </si>
  <si>
    <t>FITA CREPE EM ROLOS 25MMX50M UN</t>
  </si>
  <si>
    <t>5.3</t>
  </si>
  <si>
    <t>5.4</t>
  </si>
  <si>
    <t>LONA PLASTICA PESADA PRETA, E = 150 MICRA</t>
  </si>
  <si>
    <t>M2</t>
  </si>
  <si>
    <t>5.5</t>
  </si>
  <si>
    <t>MASSA ACRILICA PARA SUPERFICIES INTERNAS E EXTERNAS</t>
  </si>
  <si>
    <t>5.6</t>
  </si>
  <si>
    <t xml:space="preserve">MASSA CORRIDA PARA PAREDES INTERNAS </t>
  </si>
  <si>
    <t>5.7</t>
  </si>
  <si>
    <t>REJUNTE CIMENTICIO, QUALQUER COR</t>
  </si>
  <si>
    <t>5.8</t>
  </si>
  <si>
    <t>REJUNTE FLEXIVEL BRANCO</t>
  </si>
  <si>
    <t>5.9</t>
  </si>
  <si>
    <t>RESINA ACRILICA PREMIUM BASE AGUA - COR BRANCA</t>
  </si>
  <si>
    <t>5.10</t>
  </si>
  <si>
    <t>SOLVENTE DILUENTE A BASE DE AGUARRAS L</t>
  </si>
  <si>
    <t>5.11</t>
  </si>
  <si>
    <t>TINTA ACRILICA PREMIUM, COR BRANCO FOSCO</t>
  </si>
  <si>
    <t>5.12</t>
  </si>
  <si>
    <t>TINTA ESMALTE SINTETICO PREMIUM ACETINADO</t>
  </si>
  <si>
    <t>5.13</t>
  </si>
  <si>
    <t>TINTA ESMALTE SINTETICO PREMIUM FOSCO</t>
  </si>
  <si>
    <t>Subtotal Civil e Pintura</t>
  </si>
  <si>
    <t>6.</t>
  </si>
  <si>
    <t>MATERIAIS SISTEMAS DE REFRIGERAÇÃO, VENTILAÇÃO E EXAUSTÃO</t>
  </si>
  <si>
    <t>6.1</t>
  </si>
  <si>
    <t>BACTERICIDA E DESINCRUSTANTE PARA LIMPEZA DE AR CONDICIONADO (REF.: AIR SHIELD OU SIMILAR)</t>
  </si>
  <si>
    <t>5l</t>
  </si>
  <si>
    <t>6.2</t>
  </si>
  <si>
    <t>COMPRESSOR INVERTER 24.000 BTUS - CONSUL</t>
  </si>
  <si>
    <t>6.3</t>
  </si>
  <si>
    <t>COMPRESSOR INVERTER 30.000 BTUS - FUJITSU</t>
  </si>
  <si>
    <t>6.4</t>
  </si>
  <si>
    <t>COMPRESSOR INVERTER 52.000 BTUS - LG</t>
  </si>
  <si>
    <t>6.5</t>
  </si>
  <si>
    <t>COMPRESSOR SCROLL COPELAND 4TR-220V 3F</t>
  </si>
  <si>
    <t>6.6</t>
  </si>
  <si>
    <t>DESENGRAXANTE PARA LIMPEZA DE AR CONDICIONADO (REF.: METASIL)</t>
  </si>
  <si>
    <t>6.7</t>
  </si>
  <si>
    <t>EXAUSTOR  C12S - PARA BANHEIRO E AMBIENTES - Ø 125MM - AIRFRAN OU SIMILAR (UND)</t>
  </si>
  <si>
    <t>6.8</t>
  </si>
  <si>
    <t>Exaustor Insuflador Sicflux Maxx 150mm Silencioso 220v (und)</t>
  </si>
  <si>
    <t>6.9</t>
  </si>
  <si>
    <t>GAS R141B 13,6kg</t>
  </si>
  <si>
    <t>13,6KG</t>
  </si>
  <si>
    <t>6.10</t>
  </si>
  <si>
    <t>GÁS R-22 (CILINDRO 13,600 KG)</t>
  </si>
  <si>
    <t>6.11</t>
  </si>
  <si>
    <t>GÁS R-22 (lata 1kg)</t>
  </si>
  <si>
    <t>lata 1kg</t>
  </si>
  <si>
    <t>6.12</t>
  </si>
  <si>
    <t>GÁS R-410A (CILINDRO DE 11,300 KG)</t>
  </si>
  <si>
    <t>11,3kg</t>
  </si>
  <si>
    <t>6.13</t>
  </si>
  <si>
    <t>GÁS R-410A (lata 800g)</t>
  </si>
  <si>
    <t>lata 800g</t>
  </si>
  <si>
    <t>6.14</t>
  </si>
  <si>
    <t xml:space="preserve">NITROGÊNIO 3M³ (ALUGUEL E RECARGA CILINDRO ) </t>
  </si>
  <si>
    <t>6.15</t>
  </si>
  <si>
    <t>PLACA DE FORÇA EVAPORADORA 1105HSE-P - FUJITSU</t>
  </si>
  <si>
    <t>6.16</t>
  </si>
  <si>
    <t>PLACA ELETRÔNICA CONDENSADOR 1401HUE-C1 -FUJITSU</t>
  </si>
  <si>
    <t>6.17</t>
  </si>
  <si>
    <t>SOLDA P/ TUBO E CONEXOES DE COBRE 500 G</t>
  </si>
  <si>
    <t>6.18</t>
  </si>
  <si>
    <t>Solda Prata Vareta (30%) 1/16 - Aws</t>
  </si>
  <si>
    <t>6.19</t>
  </si>
  <si>
    <t>TUBO DE COBRE  FLEXÍVEL 1/2"</t>
  </si>
  <si>
    <t>6.20</t>
  </si>
  <si>
    <t>TUBO DE COBRE  FLEXÍVEL 5/8"</t>
  </si>
  <si>
    <t>6.21</t>
  </si>
  <si>
    <t>TUBO DE COBRE FLEXÍVEL 1/4"</t>
  </si>
  <si>
    <t>6.22</t>
  </si>
  <si>
    <t>TUBO DE COBRE FLEXÍVEL 3/4"</t>
  </si>
  <si>
    <t>6.23</t>
  </si>
  <si>
    <t>TUBO DE COBRE FLEXÍVEL 3/8"</t>
  </si>
  <si>
    <t>6.24</t>
  </si>
  <si>
    <t>VARETA DE FOSCOPER 2,4MM - Kg</t>
  </si>
  <si>
    <t>Subtotal de Refrigeração, Ventilação e Exaustão</t>
  </si>
  <si>
    <t>SISTEMAS CONTRA INCÊNDIO</t>
  </si>
  <si>
    <t>7.1</t>
  </si>
  <si>
    <t>EXTINTOR DE INCENDIO PORTATIL COM CARGA DE AGUA PRESSURIZADA DE 10 L, CLASSE A,</t>
  </si>
  <si>
    <t>7.2</t>
  </si>
  <si>
    <t>EXTINTOR DE INCENDIO PORTATIL COM CARGA DE GAS CARBONICO CO2 DE 6 KG, CLASSE BC</t>
  </si>
  <si>
    <t>7.3</t>
  </si>
  <si>
    <t>EXTINTOR DE INCENDIO PORTATIL COM CARGA DE PO QUIMICO SECO (PQS) DE 4 KG, CLASSE BC</t>
  </si>
  <si>
    <t>7.4</t>
  </si>
  <si>
    <t>PLACA DE SINALIZACAO DE SEGURANCA CONTRA INCENDIO, FOTOLUMINESCENTE RETANGULAR, *13 X 26* CM, EM PVC *2* MM ANTI-CHAMAS (SIMBOLOS, CORES E PICTOGRAMAS CONFORME NBR 13434)</t>
  </si>
  <si>
    <t>Subtotal Sistemas Contra Incêndio</t>
  </si>
  <si>
    <t>TOTAL SEM BDI PARA 12 MESES</t>
  </si>
  <si>
    <t>BDI</t>
  </si>
  <si>
    <t>TOTAL PARA 12 MESES COM BDI</t>
  </si>
  <si>
    <t>TOTAL MENSAL COM BDI</t>
  </si>
  <si>
    <t>TOTAL 20 MESES COM BDI</t>
  </si>
  <si>
    <t>Obs.:</t>
  </si>
  <si>
    <t>Previsão feita com base no histórico de ordens de serviços de contratos anteriores.</t>
  </si>
  <si>
    <t>PLANILHA DE CUSTO DE SERVIÇOS EVENTUAIS</t>
  </si>
  <si>
    <t>QNT ANUAL</t>
  </si>
  <si>
    <t>NÃO DESONERADO</t>
  </si>
  <si>
    <t>ONERADO</t>
  </si>
  <si>
    <t>REFERÊNCIA</t>
  </si>
  <si>
    <t>R$ UNIT</t>
  </si>
  <si>
    <t>R$ ANUAL</t>
  </si>
  <si>
    <t>Aplicação manual de pintura com tinta látex acrílica em paredes, duas demãos</t>
  </si>
  <si>
    <t>m²</t>
  </si>
  <si>
    <t>Aplicação manual de pintura com tinta látex acrílica em teto, duas demãos</t>
  </si>
  <si>
    <t>Aplicação e lixamento de massa látex em teto, duas demãos</t>
  </si>
  <si>
    <t>Aplicação e lixamento de massa látex em paredes, duas demãos</t>
  </si>
  <si>
    <t>Pintura Tinta De Acabamento (Pigmentada) Esmalte Sintético Fosco Em Madeira, 2 Demãos</t>
  </si>
  <si>
    <t>Pintura Tinta De Acabamento (Pigmentada) Esmalte Sintético Acetinado Em Madeira, 2 Demãos</t>
  </si>
  <si>
    <t>Recarga extintor pó químico seco BC 4kg</t>
  </si>
  <si>
    <t>unid</t>
  </si>
  <si>
    <t xml:space="preserve">Pesquisa </t>
  </si>
  <si>
    <t>Recarga extintor CO2 6kg</t>
  </si>
  <si>
    <t>Recarga extintor água pressurizada 10l</t>
  </si>
  <si>
    <r>
      <t>Manutenção preventiva em</t>
    </r>
    <r>
      <rPr>
        <sz val="8"/>
        <color rgb="FFFF0000"/>
        <rFont val="Calibri"/>
        <family val="2"/>
        <scheme val="minor"/>
      </rPr>
      <t xml:space="preserve"> </t>
    </r>
    <r>
      <rPr>
        <sz val="8"/>
        <rFont val="Calibri"/>
        <family val="2"/>
        <scheme val="minor"/>
      </rPr>
      <t>1 nobreak Sinus Double II 15KVA com 32 baterias, 2 estabilizadores de 125KVA e 1 Transformador Isolador de 120KVA, a ser realizado fora do horário comercial</t>
    </r>
  </si>
  <si>
    <t>Composição de preços (TCPO/PINI e SINAPI)</t>
  </si>
  <si>
    <t>Manutenção preventiva de 3 (três)  nobreaks Sinus Double II 5KVA, 16 baterias, fora do horário comercial</t>
  </si>
  <si>
    <t>Fornecimento e troca de baterias do nobreak Sinus Double II 15KVA, 32 baterias 12V 18Ah, fora do horário comercial</t>
  </si>
  <si>
    <t>Fornecimento e troca de baterias do nobreak Sinus Double II 5KVA,  16 baterias 12V 7Ah,fora do horário comercial</t>
  </si>
  <si>
    <t>Fornecimento e instalação de parede de drywall (gesso acartonado) simples, sem vãos</t>
  </si>
  <si>
    <t>Fornecimento e instalação de parede de drywall (gesso acartonado) simples, com vãos</t>
  </si>
  <si>
    <t>Remoção de chapas e perfis de drywall, de forma manual, sem reaproveitamento</t>
  </si>
  <si>
    <t>Inspeção e análise termográfica em 8 (oito) quadros elétricos de baixa tensão - São Paulo</t>
  </si>
  <si>
    <t>um</t>
  </si>
  <si>
    <t>Inspeção e análise termográfica em 7 (sete) quadros elétricos de baixa tensão - São José dos Campos</t>
  </si>
  <si>
    <t>Andaime tubular tipo torre, locação, montagem e desmontagem (composição SINAPI 97064 e 10527)</t>
  </si>
  <si>
    <t>m x mês</t>
  </si>
  <si>
    <t>97064  10527</t>
  </si>
  <si>
    <t>Serviço de análise de qualidade do ar</t>
  </si>
  <si>
    <t>und</t>
  </si>
  <si>
    <t>Auxiliar de Eletricista - CBO 7156-15</t>
  </si>
  <si>
    <t>Auxiliar de mecânico de refrigeração - CBO 9112-05</t>
  </si>
  <si>
    <t>Auxiliar de Serviços Gerais - CBO 5143-20</t>
  </si>
  <si>
    <t>Encanador - CBO 7241-10</t>
  </si>
  <si>
    <t>Engenheiro Civil -CBO 2142-15</t>
  </si>
  <si>
    <t>Engenheiro Eletricista - CBO 2143-15</t>
  </si>
  <si>
    <t>Engenheiro Mecânico - CBO 2144-05</t>
  </si>
  <si>
    <t>Instalador-reparador de cabeamento - CBO 3132-05</t>
  </si>
  <si>
    <t>Oficial de manutenção predial - CBO 5143-25</t>
  </si>
  <si>
    <t>SINAPI - 09/2025</t>
  </si>
  <si>
    <t>Oficial eletricista - CBO 9511-05</t>
  </si>
  <si>
    <t>Oficial mecânico de refrigeração - CBO 3141-10</t>
  </si>
  <si>
    <t>Pintor - CBO 7166-10</t>
  </si>
  <si>
    <t>Técnico de Manutenção Eletrônica - CBO 3132-05</t>
  </si>
  <si>
    <t>Técnico Eletromecânico - CBO 3003-05</t>
  </si>
  <si>
    <t>TOTAL  GERAL 12 MESES</t>
  </si>
  <si>
    <t>VALORES REFERENCIAIS</t>
  </si>
  <si>
    <t>Unidade</t>
  </si>
  <si>
    <t>Quantidade                    ( A )</t>
  </si>
  <si>
    <t>Prazo de Vida Útil (Meses)                  ( B )</t>
  </si>
  <si>
    <t>Valor Unitário                       ( C )</t>
  </si>
  <si>
    <t>Valor Total                       D = ( A x C) / ( B)</t>
  </si>
  <si>
    <t>Relógio Ponto</t>
  </si>
  <si>
    <t>Peça</t>
  </si>
  <si>
    <t>VALOR TOTAL</t>
  </si>
  <si>
    <t xml:space="preserve">VALOR TOTAL POR EMPREGADO </t>
  </si>
  <si>
    <t>BOBINA</t>
  </si>
  <si>
    <t>Tamanho da bobina (m)</t>
  </si>
  <si>
    <t>Quantidade de tickets por bobina</t>
  </si>
  <si>
    <t>Número estimado de tickets por dia</t>
  </si>
  <si>
    <t>Estimativa de meses por bobina</t>
  </si>
  <si>
    <t>Meses de Contrato</t>
  </si>
  <si>
    <t>Quantidade estimada de bobinas</t>
  </si>
  <si>
    <t xml:space="preserve"> BENEFÍCIOS E DESPESAS INDIRETAS (BDI)</t>
  </si>
  <si>
    <t xml:space="preserve"> FERRAMENTAS E EQUIPAMENTOS</t>
  </si>
  <si>
    <t xml:space="preserve"> QUADRO RESUMO DA CONTRATAÇÃO</t>
  </si>
  <si>
    <t xml:space="preserve"> CUSTO DE UNIFORMES</t>
  </si>
  <si>
    <t xml:space="preserve"> MATERIAIS DE CONSUMO E REPOSIÇÃO</t>
  </si>
  <si>
    <t>Jaqueta para frio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</si>
</sst>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&quot;R$&quot;\ #,##0.00"/>
    <numFmt numFmtId="168" formatCode="&quot;R$ &quot;#,##0.00_);[Red]\(&quot;R$ &quot;#,##0.00\)"/>
    <numFmt numFmtId="169" formatCode="&quot;R$ &quot;#,##0.00"/>
    <numFmt numFmtId="170" formatCode="&quot;R$ &quot;#,##0.00;[Red]&quot;-R$ &quot;#,##0.0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4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sz val="16"/>
      <name val="Calibri"/>
      <family val="2"/>
      <charset val="1"/>
    </font>
    <font>
      <b/>
      <sz val="14"/>
      <name val="Calibri"/>
      <family val="2"/>
      <charset val="1"/>
    </font>
    <font>
      <b/>
      <sz val="10"/>
      <name val="Calibri"/>
      <family val="2"/>
      <charset val="1"/>
    </font>
    <font>
      <b/>
      <sz val="8"/>
      <name val="Calibri"/>
      <family val="2"/>
      <charset val="1"/>
    </font>
    <font>
      <b/>
      <sz val="9"/>
      <name val="Calibri"/>
      <family val="2"/>
      <charset val="1"/>
    </font>
    <font>
      <sz val="8"/>
      <name val="Calibri"/>
      <family val="2"/>
      <charset val="1"/>
    </font>
    <font>
      <sz val="9"/>
      <name val="Calibri"/>
      <family val="2"/>
      <charset val="1"/>
    </font>
    <font>
      <b/>
      <sz val="11"/>
      <name val="Calibri"/>
      <family val="2"/>
      <charset val="1"/>
    </font>
    <font>
      <vertAlign val="superscript"/>
      <sz val="8"/>
      <name val="Calibri"/>
      <family val="2"/>
      <charset val="1"/>
    </font>
    <font>
      <b/>
      <sz val="20"/>
      <name val="Calibri"/>
      <family val="2"/>
      <charset val="1"/>
    </font>
    <font>
      <sz val="11"/>
      <name val="Calibri"/>
      <family val="2"/>
      <charset val="1"/>
    </font>
    <font>
      <sz val="1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8"/>
      <color rgb="FF00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DB9CA"/>
        <bgColor rgb="FFBFBFBF"/>
      </patternFill>
    </fill>
    <fill>
      <patternFill patternType="solid">
        <fgColor rgb="FFFFFFFF"/>
        <bgColor rgb="FFF2F2F2"/>
      </patternFill>
    </fill>
    <fill>
      <patternFill patternType="solid">
        <fgColor rgb="FFDEEBF7"/>
        <bgColor rgb="FFDAE3F3"/>
      </patternFill>
    </fill>
    <fill>
      <patternFill patternType="solid">
        <fgColor theme="0" tint="-0.14999847407452621"/>
        <bgColor rgb="FFADB9CA"/>
      </patternFill>
    </fill>
    <fill>
      <patternFill patternType="solid">
        <fgColor theme="0"/>
        <bgColor rgb="FFDAE3F3"/>
      </patternFill>
    </fill>
    <fill>
      <patternFill patternType="solid">
        <fgColor theme="0" tint="-0.14999847407452621"/>
        <bgColor rgb="FFF2F2F2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166" fontId="1" fillId="0" borderId="0" applyFont="0" applyFill="0" applyBorder="0" applyAlignment="0" applyProtection="0"/>
    <xf numFmtId="0" fontId="3" fillId="0" borderId="0"/>
    <xf numFmtId="9" fontId="3" fillId="0" borderId="0" applyFill="0" applyBorder="0" applyAlignment="0" applyProtection="0"/>
    <xf numFmtId="165" fontId="3" fillId="0" borderId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9">
    <xf numFmtId="0" fontId="0" fillId="0" borderId="0" xfId="0"/>
    <xf numFmtId="0" fontId="4" fillId="0" borderId="0" xfId="2" applyFont="1" applyAlignment="1">
      <alignment horizontal="center" vertical="center"/>
    </xf>
    <xf numFmtId="2" fontId="4" fillId="0" borderId="0" xfId="2" applyNumberFormat="1" applyFont="1" applyAlignment="1">
      <alignment vertical="center"/>
    </xf>
    <xf numFmtId="0" fontId="5" fillId="0" borderId="5" xfId="2" applyFont="1" applyBorder="1" applyAlignment="1">
      <alignment horizontal="center" vertical="center"/>
    </xf>
    <xf numFmtId="10" fontId="5" fillId="0" borderId="0" xfId="3" applyNumberFormat="1" applyFont="1" applyBorder="1" applyAlignment="1">
      <alignment vertical="center"/>
    </xf>
    <xf numFmtId="2" fontId="5" fillId="0" borderId="6" xfId="2" applyNumberFormat="1" applyFont="1" applyBorder="1" applyAlignment="1">
      <alignment vertical="center"/>
    </xf>
    <xf numFmtId="0" fontId="6" fillId="0" borderId="5" xfId="2" applyFont="1" applyBorder="1" applyAlignment="1">
      <alignment vertical="center"/>
    </xf>
    <xf numFmtId="0" fontId="5" fillId="0" borderId="7" xfId="2" applyFont="1" applyBorder="1" applyAlignment="1">
      <alignment horizontal="center" vertical="center"/>
    </xf>
    <xf numFmtId="10" fontId="5" fillId="0" borderId="2" xfId="3" applyNumberFormat="1" applyFont="1" applyBorder="1" applyAlignment="1">
      <alignment vertical="center"/>
    </xf>
    <xf numFmtId="2" fontId="5" fillId="0" borderId="8" xfId="2" applyNumberFormat="1" applyFont="1" applyBorder="1" applyAlignment="1">
      <alignment vertical="center"/>
    </xf>
    <xf numFmtId="0" fontId="3" fillId="0" borderId="0" xfId="2"/>
    <xf numFmtId="2" fontId="3" fillId="0" borderId="0" xfId="2" applyNumberFormat="1" applyAlignment="1">
      <alignment vertical="center"/>
    </xf>
    <xf numFmtId="0" fontId="4" fillId="0" borderId="0" xfId="2" applyFont="1" applyAlignment="1">
      <alignment vertical="center"/>
    </xf>
    <xf numFmtId="165" fontId="4" fillId="0" borderId="0" xfId="4" applyFont="1" applyAlignment="1">
      <alignment vertical="center"/>
    </xf>
    <xf numFmtId="43" fontId="3" fillId="0" borderId="0" xfId="2" applyNumberFormat="1" applyAlignment="1">
      <alignment vertical="center"/>
    </xf>
    <xf numFmtId="0" fontId="4" fillId="0" borderId="0" xfId="0" applyFont="1" applyAlignment="1">
      <alignment vertical="center"/>
    </xf>
    <xf numFmtId="44" fontId="4" fillId="0" borderId="0" xfId="0" applyNumberFormat="1" applyFont="1" applyAlignment="1">
      <alignment vertical="center"/>
    </xf>
    <xf numFmtId="166" fontId="0" fillId="0" borderId="0" xfId="1" applyFont="1"/>
    <xf numFmtId="43" fontId="0" fillId="0" borderId="0" xfId="0" applyNumberFormat="1"/>
    <xf numFmtId="0" fontId="3" fillId="0" borderId="0" xfId="0" applyFont="1" applyAlignment="1">
      <alignment vertical="center"/>
    </xf>
    <xf numFmtId="0" fontId="11" fillId="0" borderId="9" xfId="0" applyFont="1" applyBorder="1" applyAlignment="1">
      <alignment horizontal="justify" vertical="center" wrapText="1"/>
    </xf>
    <xf numFmtId="0" fontId="11" fillId="0" borderId="10" xfId="0" applyFont="1" applyBorder="1" applyAlignment="1">
      <alignment horizontal="justify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164" fontId="0" fillId="0" borderId="0" xfId="6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3" fillId="0" borderId="0" xfId="9" applyAlignment="1">
      <alignment horizontal="center"/>
    </xf>
    <xf numFmtId="44" fontId="0" fillId="0" borderId="0" xfId="0" applyNumberFormat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0" fillId="0" borderId="0" xfId="6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164" fontId="0" fillId="8" borderId="0" xfId="6" applyFont="1" applyFill="1" applyBorder="1" applyAlignment="1">
      <alignment horizontal="left" vertical="center"/>
    </xf>
    <xf numFmtId="0" fontId="13" fillId="0" borderId="0" xfId="9" applyBorder="1" applyAlignment="1">
      <alignment vertical="center"/>
    </xf>
    <xf numFmtId="0" fontId="13" fillId="0" borderId="0" xfId="9" applyBorder="1" applyAlignment="1"/>
    <xf numFmtId="164" fontId="0" fillId="9" borderId="0" xfId="6" applyFont="1" applyFill="1" applyBorder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13" fillId="0" borderId="14" xfId="9" applyBorder="1" applyAlignment="1"/>
    <xf numFmtId="0" fontId="0" fillId="0" borderId="14" xfId="0" applyBorder="1" applyAlignment="1">
      <alignment horizontal="center" vertical="center"/>
    </xf>
    <xf numFmtId="164" fontId="0" fillId="8" borderId="14" xfId="6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0" fillId="0" borderId="0" xfId="6" applyFont="1" applyBorder="1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0" fontId="0" fillId="0" borderId="14" xfId="0" applyBorder="1" applyAlignment="1">
      <alignment horizontal="left" vertical="center"/>
    </xf>
    <xf numFmtId="164" fontId="0" fillId="0" borderId="14" xfId="6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9" borderId="0" xfId="6" applyFont="1" applyFill="1" applyBorder="1" applyAlignment="1">
      <alignment horizontal="center" vertical="center"/>
    </xf>
    <xf numFmtId="164" fontId="0" fillId="8" borderId="0" xfId="6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left" vertical="center"/>
    </xf>
    <xf numFmtId="14" fontId="0" fillId="0" borderId="14" xfId="0" applyNumberFormat="1" applyBorder="1" applyAlignment="1">
      <alignment horizontal="center" vertical="center"/>
    </xf>
    <xf numFmtId="164" fontId="0" fillId="9" borderId="14" xfId="6" applyFont="1" applyFill="1" applyBorder="1" applyAlignment="1">
      <alignment horizontal="center" vertical="center"/>
    </xf>
    <xf numFmtId="164" fontId="0" fillId="9" borderId="14" xfId="6" applyFont="1" applyFill="1" applyBorder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164" fontId="0" fillId="3" borderId="0" xfId="6" applyFont="1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5" fillId="3" borderId="0" xfId="0" applyFont="1" applyFill="1" applyAlignment="1">
      <alignment horizontal="justify" vertical="center" wrapText="1"/>
    </xf>
    <xf numFmtId="0" fontId="15" fillId="3" borderId="0" xfId="0" applyFont="1" applyFill="1" applyAlignment="1">
      <alignment horizontal="center" vertical="center" wrapText="1"/>
    </xf>
    <xf numFmtId="1" fontId="15" fillId="3" borderId="0" xfId="0" applyNumberFormat="1" applyFont="1" applyFill="1" applyAlignment="1">
      <alignment horizontal="center" vertical="center" wrapText="1"/>
    </xf>
    <xf numFmtId="167" fontId="15" fillId="3" borderId="0" xfId="0" applyNumberFormat="1" applyFont="1" applyFill="1" applyAlignment="1">
      <alignment horizontal="center" vertical="center" wrapText="1"/>
    </xf>
    <xf numFmtId="167" fontId="14" fillId="2" borderId="14" xfId="0" applyNumberFormat="1" applyFont="1" applyFill="1" applyBorder="1" applyAlignment="1">
      <alignment horizontal="center" vertical="center"/>
    </xf>
    <xf numFmtId="164" fontId="0" fillId="8" borderId="14" xfId="6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4" fontId="2" fillId="0" borderId="0" xfId="0" applyNumberFormat="1" applyFont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3" fillId="0" borderId="0" xfId="2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3" fillId="0" borderId="0" xfId="2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14" fontId="3" fillId="0" borderId="0" xfId="2" applyNumberFormat="1" applyAlignment="1">
      <alignment horizontal="center" vertical="center"/>
    </xf>
    <xf numFmtId="0" fontId="17" fillId="0" borderId="0" xfId="0" applyFont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164" fontId="0" fillId="0" borderId="0" xfId="6" applyFont="1" applyBorder="1" applyAlignment="1">
      <alignment horizontal="center" vertical="center" wrapText="1"/>
    </xf>
    <xf numFmtId="164" fontId="20" fillId="0" borderId="0" xfId="6" applyFont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167" fontId="23" fillId="11" borderId="0" xfId="0" applyNumberFormat="1" applyFont="1" applyFill="1" applyAlignment="1">
      <alignment horizontal="right" vertical="center" wrapText="1"/>
    </xf>
    <xf numFmtId="0" fontId="2" fillId="2" borderId="17" xfId="0" applyFont="1" applyFill="1" applyBorder="1" applyAlignment="1">
      <alignment horizontal="center" vertical="center" wrapText="1"/>
    </xf>
    <xf numFmtId="164" fontId="2" fillId="2" borderId="17" xfId="6" applyFont="1" applyFill="1" applyBorder="1" applyAlignment="1">
      <alignment horizontal="center" vertical="center" wrapText="1"/>
    </xf>
    <xf numFmtId="164" fontId="21" fillId="2" borderId="17" xfId="6" applyFont="1" applyFill="1" applyBorder="1" applyAlignment="1">
      <alignment horizontal="center" vertical="center" wrapText="1"/>
    </xf>
    <xf numFmtId="0" fontId="0" fillId="0" borderId="0" xfId="11" applyFont="1" applyAlignment="1">
      <alignment horizontal="center" vertical="center"/>
    </xf>
    <xf numFmtId="0" fontId="24" fillId="0" borderId="0" xfId="11" applyFont="1" applyAlignment="1">
      <alignment horizontal="left" vertical="center" wrapText="1"/>
    </xf>
    <xf numFmtId="0" fontId="22" fillId="2" borderId="19" xfId="0" applyFont="1" applyFill="1" applyBorder="1" applyAlignment="1">
      <alignment vertical="center" wrapText="1"/>
    </xf>
    <xf numFmtId="0" fontId="22" fillId="2" borderId="19" xfId="0" applyFont="1" applyFill="1" applyBorder="1" applyAlignment="1">
      <alignment horizontal="center" vertical="center" wrapText="1"/>
    </xf>
    <xf numFmtId="167" fontId="23" fillId="0" borderId="0" xfId="0" applyNumberFormat="1" applyFont="1" applyAlignment="1">
      <alignment horizontal="right" vertical="center" wrapText="1"/>
    </xf>
    <xf numFmtId="167" fontId="22" fillId="2" borderId="17" xfId="0" applyNumberFormat="1" applyFont="1" applyFill="1" applyBorder="1" applyAlignment="1">
      <alignment horizontal="right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10" fontId="0" fillId="3" borderId="0" xfId="0" applyNumberFormat="1" applyFill="1" applyAlignment="1">
      <alignment horizontal="center" vertical="center"/>
    </xf>
    <xf numFmtId="10" fontId="2" fillId="3" borderId="0" xfId="0" applyNumberFormat="1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0" fontId="2" fillId="3" borderId="2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vertical="center" wrapText="1"/>
    </xf>
    <xf numFmtId="0" fontId="2" fillId="2" borderId="17" xfId="0" applyFont="1" applyFill="1" applyBorder="1"/>
    <xf numFmtId="44" fontId="2" fillId="2" borderId="17" xfId="0" applyNumberFormat="1" applyFont="1" applyFill="1" applyBorder="1"/>
    <xf numFmtId="10" fontId="2" fillId="2" borderId="17" xfId="0" applyNumberFormat="1" applyFont="1" applyFill="1" applyBorder="1" applyAlignment="1">
      <alignment horizontal="center" vertical="center"/>
    </xf>
    <xf numFmtId="10" fontId="2" fillId="2" borderId="14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10" fontId="2" fillId="3" borderId="18" xfId="0" applyNumberFormat="1" applyFont="1" applyFill="1" applyBorder="1" applyAlignment="1">
      <alignment horizontal="center" vertical="center"/>
    </xf>
    <xf numFmtId="44" fontId="0" fillId="0" borderId="0" xfId="0" applyNumberFormat="1"/>
    <xf numFmtId="44" fontId="15" fillId="3" borderId="0" xfId="8" applyFont="1" applyFill="1" applyBorder="1" applyAlignment="1">
      <alignment horizontal="center" vertical="center"/>
    </xf>
    <xf numFmtId="0" fontId="14" fillId="2" borderId="17" xfId="0" applyFont="1" applyFill="1" applyBorder="1"/>
    <xf numFmtId="44" fontId="14" fillId="2" borderId="17" xfId="0" applyNumberFormat="1" applyFont="1" applyFill="1" applyBorder="1"/>
    <xf numFmtId="0" fontId="27" fillId="0" borderId="0" xfId="0" applyFont="1"/>
    <xf numFmtId="0" fontId="16" fillId="0" borderId="0" xfId="0" applyFont="1"/>
    <xf numFmtId="0" fontId="28" fillId="12" borderId="20" xfId="0" applyFont="1" applyFill="1" applyBorder="1" applyAlignment="1">
      <alignment horizontal="center" vertical="center"/>
    </xf>
    <xf numFmtId="0" fontId="28" fillId="12" borderId="21" xfId="0" applyFont="1" applyFill="1" applyBorder="1" applyAlignment="1">
      <alignment horizontal="center"/>
    </xf>
    <xf numFmtId="167" fontId="28" fillId="12" borderId="21" xfId="0" applyNumberFormat="1" applyFont="1" applyFill="1" applyBorder="1" applyAlignment="1">
      <alignment horizontal="center"/>
    </xf>
    <xf numFmtId="0" fontId="28" fillId="12" borderId="22" xfId="0" applyFont="1" applyFill="1" applyBorder="1" applyAlignment="1">
      <alignment horizontal="center"/>
    </xf>
    <xf numFmtId="0" fontId="29" fillId="0" borderId="0" xfId="0" applyFont="1"/>
    <xf numFmtId="44" fontId="28" fillId="12" borderId="25" xfId="8" applyFont="1" applyFill="1" applyBorder="1" applyAlignment="1">
      <alignment horizontal="center"/>
    </xf>
    <xf numFmtId="0" fontId="28" fillId="12" borderId="0" xfId="0" applyFont="1" applyFill="1" applyAlignment="1">
      <alignment horizontal="center"/>
    </xf>
    <xf numFmtId="0" fontId="28" fillId="12" borderId="26" xfId="0" applyFont="1" applyFill="1" applyBorder="1" applyAlignment="1">
      <alignment horizontal="left"/>
    </xf>
    <xf numFmtId="0" fontId="28" fillId="12" borderId="27" xfId="0" applyFont="1" applyFill="1" applyBorder="1" applyAlignment="1">
      <alignment horizontal="center" vertical="center"/>
    </xf>
    <xf numFmtId="0" fontId="29" fillId="12" borderId="16" xfId="0" applyFont="1" applyFill="1" applyBorder="1"/>
    <xf numFmtId="167" fontId="29" fillId="12" borderId="16" xfId="0" applyNumberFormat="1" applyFont="1" applyFill="1" applyBorder="1"/>
    <xf numFmtId="0" fontId="29" fillId="12" borderId="16" xfId="0" applyFont="1" applyFill="1" applyBorder="1" applyAlignment="1">
      <alignment horizontal="center"/>
    </xf>
    <xf numFmtId="0" fontId="29" fillId="12" borderId="28" xfId="0" applyFont="1" applyFill="1" applyBorder="1"/>
    <xf numFmtId="0" fontId="30" fillId="0" borderId="0" xfId="0" applyFont="1" applyAlignment="1">
      <alignment horizontal="center" vertical="center"/>
    </xf>
    <xf numFmtId="0" fontId="30" fillId="0" borderId="0" xfId="0" applyFont="1"/>
    <xf numFmtId="167" fontId="16" fillId="0" borderId="0" xfId="0" applyNumberFormat="1" applyFont="1"/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41" fillId="0" borderId="0" xfId="0" applyFont="1"/>
    <xf numFmtId="0" fontId="36" fillId="0" borderId="33" xfId="0" applyFont="1" applyBorder="1" applyAlignment="1">
      <alignment vertical="center" wrapText="1"/>
    </xf>
    <xf numFmtId="0" fontId="41" fillId="0" borderId="0" xfId="0" applyFont="1" applyAlignment="1">
      <alignment vertical="center"/>
    </xf>
    <xf numFmtId="0" fontId="43" fillId="0" borderId="0" xfId="0" applyFont="1"/>
    <xf numFmtId="0" fontId="43" fillId="0" borderId="0" xfId="0" applyFont="1" applyAlignment="1">
      <alignment horizontal="center" wrapText="1"/>
    </xf>
    <xf numFmtId="0" fontId="43" fillId="0" borderId="0" xfId="0" applyFont="1" applyAlignment="1">
      <alignment horizontal="center"/>
    </xf>
    <xf numFmtId="2" fontId="43" fillId="0" borderId="0" xfId="0" applyNumberFormat="1" applyFont="1" applyAlignment="1">
      <alignment horizontal="center"/>
    </xf>
    <xf numFmtId="4" fontId="43" fillId="0" borderId="0" xfId="0" applyNumberFormat="1" applyFont="1" applyAlignment="1">
      <alignment horizontal="center"/>
    </xf>
    <xf numFmtId="0" fontId="43" fillId="0" borderId="0" xfId="0" applyFont="1" applyAlignment="1">
      <alignment vertical="center"/>
    </xf>
    <xf numFmtId="2" fontId="0" fillId="0" borderId="0" xfId="0" applyNumberFormat="1"/>
    <xf numFmtId="0" fontId="29" fillId="0" borderId="30" xfId="0" applyFont="1" applyBorder="1" applyAlignment="1">
      <alignment horizontal="center"/>
    </xf>
    <xf numFmtId="0" fontId="29" fillId="0" borderId="30" xfId="0" applyFont="1" applyBorder="1" applyAlignment="1">
      <alignment horizontal="left"/>
    </xf>
    <xf numFmtId="0" fontId="8" fillId="7" borderId="43" xfId="0" applyFont="1" applyFill="1" applyBorder="1" applyAlignment="1">
      <alignment horizontal="justify" vertical="center"/>
    </xf>
    <xf numFmtId="49" fontId="9" fillId="7" borderId="43" xfId="0" applyNumberFormat="1" applyFont="1" applyFill="1" applyBorder="1" applyAlignment="1">
      <alignment horizontal="justify" vertical="center"/>
    </xf>
    <xf numFmtId="0" fontId="5" fillId="0" borderId="45" xfId="2" applyFont="1" applyBorder="1" applyAlignment="1">
      <alignment horizontal="center" vertical="center"/>
    </xf>
    <xf numFmtId="10" fontId="5" fillId="0" borderId="44" xfId="3" applyNumberFormat="1" applyFont="1" applyBorder="1" applyAlignment="1">
      <alignment vertical="center"/>
    </xf>
    <xf numFmtId="2" fontId="5" fillId="0" borderId="46" xfId="2" applyNumberFormat="1" applyFont="1" applyBorder="1" applyAlignment="1">
      <alignment vertical="center"/>
    </xf>
    <xf numFmtId="0" fontId="36" fillId="0" borderId="47" xfId="0" applyFont="1" applyBorder="1" applyAlignment="1">
      <alignment horizontal="center" vertical="center"/>
    </xf>
    <xf numFmtId="2" fontId="38" fillId="16" borderId="35" xfId="0" applyNumberFormat="1" applyFont="1" applyFill="1" applyBorder="1" applyAlignment="1">
      <alignment horizontal="center" vertical="center"/>
    </xf>
    <xf numFmtId="169" fontId="38" fillId="16" borderId="36" xfId="0" applyNumberFormat="1" applyFont="1" applyFill="1" applyBorder="1" applyAlignment="1">
      <alignment horizontal="center" vertical="center"/>
    </xf>
    <xf numFmtId="2" fontId="41" fillId="16" borderId="38" xfId="0" applyNumberFormat="1" applyFont="1" applyFill="1" applyBorder="1" applyAlignment="1">
      <alignment horizontal="center" vertical="center"/>
    </xf>
    <xf numFmtId="0" fontId="38" fillId="16" borderId="34" xfId="0" applyFont="1" applyFill="1" applyBorder="1" applyAlignment="1">
      <alignment horizontal="right" vertical="center"/>
    </xf>
    <xf numFmtId="0" fontId="38" fillId="16" borderId="37" xfId="0" applyFont="1" applyFill="1" applyBorder="1" applyAlignment="1">
      <alignment horizontal="right" vertical="center"/>
    </xf>
    <xf numFmtId="0" fontId="38" fillId="16" borderId="35" xfId="0" applyFont="1" applyFill="1" applyBorder="1" applyAlignment="1">
      <alignment horizontal="center" vertical="center"/>
    </xf>
    <xf numFmtId="169" fontId="41" fillId="16" borderId="39" xfId="0" applyNumberFormat="1" applyFont="1" applyFill="1" applyBorder="1" applyAlignment="1">
      <alignment horizontal="center" vertical="center"/>
    </xf>
    <xf numFmtId="169" fontId="38" fillId="16" borderId="35" xfId="0" applyNumberFormat="1" applyFont="1" applyFill="1" applyBorder="1" applyAlignment="1">
      <alignment horizontal="center" vertical="center"/>
    </xf>
    <xf numFmtId="0" fontId="38" fillId="16" borderId="38" xfId="0" applyFont="1" applyFill="1" applyBorder="1" applyAlignment="1">
      <alignment horizontal="center" vertical="center"/>
    </xf>
    <xf numFmtId="10" fontId="42" fillId="16" borderId="38" xfId="0" applyNumberFormat="1" applyFont="1" applyFill="1" applyBorder="1" applyAlignment="1">
      <alignment horizontal="center" vertical="center"/>
    </xf>
    <xf numFmtId="164" fontId="38" fillId="16" borderId="35" xfId="6" applyFont="1" applyFill="1" applyBorder="1" applyAlignment="1" applyProtection="1">
      <alignment horizontal="center" vertical="center"/>
    </xf>
    <xf numFmtId="0" fontId="41" fillId="16" borderId="38" xfId="0" applyFont="1" applyFill="1" applyBorder="1" applyAlignment="1">
      <alignment horizontal="center" vertical="center"/>
    </xf>
    <xf numFmtId="0" fontId="41" fillId="16" borderId="37" xfId="0" applyFont="1" applyFill="1" applyBorder="1" applyAlignment="1">
      <alignment horizontal="right" vertical="center"/>
    </xf>
    <xf numFmtId="169" fontId="41" fillId="16" borderId="38" xfId="0" applyNumberFormat="1" applyFont="1" applyFill="1" applyBorder="1" applyAlignment="1">
      <alignment horizontal="center" vertical="center"/>
    </xf>
    <xf numFmtId="164" fontId="41" fillId="16" borderId="38" xfId="6" applyFont="1" applyFill="1" applyBorder="1" applyAlignment="1" applyProtection="1">
      <alignment horizontal="center" vertical="center"/>
    </xf>
    <xf numFmtId="0" fontId="29" fillId="0" borderId="48" xfId="0" applyFont="1" applyBorder="1" applyAlignment="1">
      <alignment horizontal="center"/>
    </xf>
    <xf numFmtId="164" fontId="38" fillId="16" borderId="38" xfId="6" applyFont="1" applyFill="1" applyBorder="1" applyAlignment="1" applyProtection="1">
      <alignment horizontal="center" vertical="center"/>
    </xf>
    <xf numFmtId="2" fontId="38" fillId="16" borderId="38" xfId="0" applyNumberFormat="1" applyFont="1" applyFill="1" applyBorder="1" applyAlignment="1">
      <alignment horizontal="center" vertical="center"/>
    </xf>
    <xf numFmtId="169" fontId="38" fillId="16" borderId="38" xfId="0" applyNumberFormat="1" applyFont="1" applyFill="1" applyBorder="1" applyAlignment="1">
      <alignment horizontal="center" vertical="center"/>
    </xf>
    <xf numFmtId="169" fontId="38" fillId="16" borderId="39" xfId="0" applyNumberFormat="1" applyFont="1" applyFill="1" applyBorder="1" applyAlignment="1">
      <alignment horizontal="center" vertical="center"/>
    </xf>
    <xf numFmtId="0" fontId="38" fillId="16" borderId="40" xfId="0" applyFont="1" applyFill="1" applyBorder="1" applyAlignment="1">
      <alignment horizontal="right" vertical="center" wrapText="1"/>
    </xf>
    <xf numFmtId="0" fontId="38" fillId="16" borderId="41" xfId="0" applyFont="1" applyFill="1" applyBorder="1" applyAlignment="1">
      <alignment horizontal="center" vertical="center" wrapText="1"/>
    </xf>
    <xf numFmtId="169" fontId="38" fillId="16" borderId="42" xfId="0" applyNumberFormat="1" applyFont="1" applyFill="1" applyBorder="1" applyAlignment="1">
      <alignment horizontal="center" vertical="center"/>
    </xf>
    <xf numFmtId="0" fontId="23" fillId="0" borderId="18" xfId="0" applyFont="1" applyBorder="1" applyAlignment="1">
      <alignment vertical="center" wrapText="1"/>
    </xf>
    <xf numFmtId="0" fontId="28" fillId="2" borderId="0" xfId="0" applyFont="1" applyFill="1" applyAlignment="1">
      <alignment horizontal="center"/>
    </xf>
    <xf numFmtId="0" fontId="16" fillId="0" borderId="49" xfId="0" applyFont="1" applyBorder="1" applyAlignment="1">
      <alignment vertical="center" wrapText="1"/>
    </xf>
    <xf numFmtId="0" fontId="16" fillId="0" borderId="49" xfId="0" applyFont="1" applyBorder="1" applyAlignment="1">
      <alignment horizontal="center" vertical="center" wrapText="1"/>
    </xf>
    <xf numFmtId="2" fontId="16" fillId="0" borderId="49" xfId="0" applyNumberFormat="1" applyFont="1" applyBorder="1" applyAlignment="1">
      <alignment horizontal="center" vertical="center" wrapText="1"/>
    </xf>
    <xf numFmtId="0" fontId="27" fillId="0" borderId="49" xfId="0" applyFont="1" applyBorder="1" applyAlignment="1">
      <alignment horizontal="center" vertical="center" wrapText="1"/>
    </xf>
    <xf numFmtId="0" fontId="44" fillId="0" borderId="0" xfId="0" applyFont="1"/>
    <xf numFmtId="0" fontId="29" fillId="0" borderId="48" xfId="0" applyFont="1" applyBorder="1" applyAlignment="1">
      <alignment horizontal="left"/>
    </xf>
    <xf numFmtId="0" fontId="29" fillId="3" borderId="48" xfId="0" applyFont="1" applyFill="1" applyBorder="1" applyAlignment="1">
      <alignment horizontal="left"/>
    </xf>
    <xf numFmtId="0" fontId="36" fillId="14" borderId="47" xfId="0" applyFont="1" applyFill="1" applyBorder="1" applyAlignment="1">
      <alignment horizontal="center" vertical="center"/>
    </xf>
    <xf numFmtId="0" fontId="27" fillId="0" borderId="0" xfId="0" applyFont="1" applyAlignment="1">
      <alignment horizontal="left"/>
    </xf>
    <xf numFmtId="0" fontId="29" fillId="0" borderId="51" xfId="0" applyFont="1" applyBorder="1"/>
    <xf numFmtId="0" fontId="45" fillId="0" borderId="0" xfId="0" applyFont="1" applyAlignment="1">
      <alignment vertical="center"/>
    </xf>
    <xf numFmtId="0" fontId="11" fillId="0" borderId="48" xfId="0" applyFont="1" applyBorder="1" applyAlignment="1">
      <alignment horizontal="justify" vertical="center" wrapText="1"/>
    </xf>
    <xf numFmtId="0" fontId="0" fillId="0" borderId="48" xfId="0" applyBorder="1" applyAlignment="1">
      <alignment vertical="center"/>
    </xf>
    <xf numFmtId="0" fontId="2" fillId="0" borderId="50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 wrapText="1"/>
    </xf>
    <xf numFmtId="44" fontId="2" fillId="0" borderId="50" xfId="0" applyNumberFormat="1" applyFont="1" applyBorder="1" applyAlignment="1">
      <alignment horizontal="center" vertical="center" wrapText="1"/>
    </xf>
    <xf numFmtId="0" fontId="3" fillId="0" borderId="48" xfId="2" applyBorder="1" applyAlignment="1">
      <alignment horizontal="center" vertical="center"/>
    </xf>
    <xf numFmtId="0" fontId="4" fillId="0" borderId="48" xfId="2" applyFont="1" applyBorder="1" applyAlignment="1">
      <alignment horizontal="center" vertical="center"/>
    </xf>
    <xf numFmtId="0" fontId="3" fillId="0" borderId="48" xfId="2" applyBorder="1" applyAlignment="1">
      <alignment vertical="center"/>
    </xf>
    <xf numFmtId="2" fontId="3" fillId="0" borderId="48" xfId="2" applyNumberFormat="1" applyBorder="1" applyAlignment="1">
      <alignment vertical="center"/>
    </xf>
    <xf numFmtId="0" fontId="3" fillId="0" borderId="48" xfId="0" applyFont="1" applyBorder="1" applyAlignment="1">
      <alignment vertical="center"/>
    </xf>
    <xf numFmtId="49" fontId="9" fillId="7" borderId="48" xfId="0" applyNumberFormat="1" applyFont="1" applyFill="1" applyBorder="1" applyAlignment="1">
      <alignment horizontal="justify" vertical="center"/>
    </xf>
    <xf numFmtId="10" fontId="3" fillId="0" borderId="48" xfId="3" applyNumberFormat="1" applyBorder="1" applyAlignment="1">
      <alignment horizontal="center" vertical="center"/>
    </xf>
    <xf numFmtId="10" fontId="3" fillId="0" borderId="48" xfId="3" applyNumberFormat="1" applyFill="1" applyBorder="1" applyAlignment="1">
      <alignment horizontal="center" vertical="center"/>
    </xf>
    <xf numFmtId="2" fontId="4" fillId="0" borderId="48" xfId="2" applyNumberFormat="1" applyFont="1" applyBorder="1" applyAlignment="1">
      <alignment vertical="center"/>
    </xf>
    <xf numFmtId="0" fontId="4" fillId="6" borderId="48" xfId="2" applyFont="1" applyFill="1" applyBorder="1" applyAlignment="1">
      <alignment horizontal="center" vertical="center"/>
    </xf>
    <xf numFmtId="10" fontId="3" fillId="0" borderId="48" xfId="2" applyNumberFormat="1" applyBorder="1" applyAlignment="1">
      <alignment horizontal="center" vertical="center"/>
    </xf>
    <xf numFmtId="0" fontId="10" fillId="0" borderId="48" xfId="0" applyFont="1" applyBorder="1" applyAlignment="1">
      <alignment horizontal="justify" vertical="center" wrapText="1"/>
    </xf>
    <xf numFmtId="10" fontId="3" fillId="3" borderId="48" xfId="2" applyNumberFormat="1" applyFill="1" applyBorder="1" applyAlignment="1">
      <alignment horizontal="center" vertical="center"/>
    </xf>
    <xf numFmtId="10" fontId="4" fillId="0" borderId="48" xfId="2" applyNumberFormat="1" applyFont="1" applyBorder="1" applyAlignment="1">
      <alignment horizontal="center" vertical="center"/>
    </xf>
    <xf numFmtId="0" fontId="4" fillId="5" borderId="48" xfId="2" applyFont="1" applyFill="1" applyBorder="1" applyAlignment="1">
      <alignment horizontal="center" vertical="center"/>
    </xf>
    <xf numFmtId="10" fontId="4" fillId="6" borderId="48" xfId="2" applyNumberFormat="1" applyFont="1" applyFill="1" applyBorder="1" applyAlignment="1">
      <alignment horizontal="center" vertical="center"/>
    </xf>
    <xf numFmtId="2" fontId="3" fillId="0" borderId="48" xfId="2" applyNumberFormat="1" applyBorder="1" applyAlignment="1">
      <alignment horizontal="right" vertical="center"/>
    </xf>
    <xf numFmtId="2" fontId="3" fillId="3" borderId="48" xfId="2" applyNumberFormat="1" applyFill="1" applyBorder="1" applyAlignment="1">
      <alignment horizontal="right" vertical="center"/>
    </xf>
    <xf numFmtId="0" fontId="10" fillId="0" borderId="48" xfId="0" applyFont="1" applyBorder="1" applyAlignment="1">
      <alignment horizontal="justify" vertical="center"/>
    </xf>
    <xf numFmtId="0" fontId="9" fillId="0" borderId="48" xfId="0" applyFont="1" applyBorder="1" applyAlignment="1">
      <alignment horizontal="justify" vertical="center"/>
    </xf>
    <xf numFmtId="0" fontId="9" fillId="0" borderId="48" xfId="0" applyFont="1" applyBorder="1" applyAlignment="1">
      <alignment horizontal="justify" vertical="center" wrapText="1"/>
    </xf>
    <xf numFmtId="0" fontId="4" fillId="0" borderId="52" xfId="2" applyFont="1" applyBorder="1" applyAlignment="1">
      <alignment horizontal="center" vertical="center"/>
    </xf>
    <xf numFmtId="2" fontId="3" fillId="3" borderId="48" xfId="2" applyNumberFormat="1" applyFill="1" applyBorder="1" applyAlignment="1">
      <alignment vertical="center"/>
    </xf>
    <xf numFmtId="10" fontId="3" fillId="0" borderId="48" xfId="2" applyNumberFormat="1" applyBorder="1" applyAlignment="1">
      <alignment vertical="center"/>
    </xf>
    <xf numFmtId="2" fontId="3" fillId="0" borderId="48" xfId="2" applyNumberFormat="1" applyBorder="1" applyAlignment="1">
      <alignment horizontal="center" vertical="center"/>
    </xf>
    <xf numFmtId="10" fontId="3" fillId="0" borderId="48" xfId="3" applyNumberFormat="1" applyBorder="1" applyAlignment="1">
      <alignment vertical="center"/>
    </xf>
    <xf numFmtId="164" fontId="7" fillId="0" borderId="48" xfId="2" applyNumberFormat="1" applyFont="1" applyBorder="1" applyAlignment="1">
      <alignment vertical="center"/>
    </xf>
    <xf numFmtId="0" fontId="33" fillId="13" borderId="48" xfId="0" applyFont="1" applyFill="1" applyBorder="1" applyAlignment="1">
      <alignment horizontal="center" vertical="center"/>
    </xf>
    <xf numFmtId="0" fontId="34" fillId="13" borderId="48" xfId="0" applyFont="1" applyFill="1" applyBorder="1" applyAlignment="1">
      <alignment horizontal="center" vertical="center"/>
    </xf>
    <xf numFmtId="0" fontId="35" fillId="13" borderId="48" xfId="0" applyFont="1" applyFill="1" applyBorder="1" applyAlignment="1">
      <alignment horizontal="center" vertical="center"/>
    </xf>
    <xf numFmtId="164" fontId="36" fillId="0" borderId="47" xfId="6" applyFont="1" applyBorder="1" applyAlignment="1">
      <alignment horizontal="center" vertical="center"/>
    </xf>
    <xf numFmtId="4" fontId="36" fillId="0" borderId="56" xfId="0" applyNumberFormat="1" applyFont="1" applyBorder="1" applyAlignment="1">
      <alignment horizontal="center" vertical="center"/>
    </xf>
    <xf numFmtId="4" fontId="36" fillId="14" borderId="56" xfId="0" applyNumberFormat="1" applyFont="1" applyFill="1" applyBorder="1" applyAlignment="1">
      <alignment horizontal="center" vertical="center"/>
    </xf>
    <xf numFmtId="170" fontId="35" fillId="15" borderId="56" xfId="0" applyNumberFormat="1" applyFont="1" applyFill="1" applyBorder="1" applyAlignment="1">
      <alignment horizontal="center" vertical="center"/>
    </xf>
    <xf numFmtId="170" fontId="37" fillId="0" borderId="56" xfId="0" applyNumberFormat="1" applyFont="1" applyBorder="1" applyAlignment="1">
      <alignment horizontal="center" vertical="center"/>
    </xf>
    <xf numFmtId="9" fontId="37" fillId="0" borderId="47" xfId="0" applyNumberFormat="1" applyFont="1" applyBorder="1" applyAlignment="1">
      <alignment horizontal="center" vertical="center"/>
    </xf>
    <xf numFmtId="170" fontId="35" fillId="0" borderId="56" xfId="0" applyNumberFormat="1" applyFont="1" applyBorder="1" applyAlignment="1">
      <alignment horizontal="center" vertical="center"/>
    </xf>
    <xf numFmtId="0" fontId="37" fillId="0" borderId="56" xfId="0" applyFont="1" applyBorder="1" applyAlignment="1">
      <alignment horizontal="center" vertical="center"/>
    </xf>
    <xf numFmtId="170" fontId="38" fillId="0" borderId="56" xfId="0" applyNumberFormat="1" applyFont="1" applyBorder="1" applyAlignment="1">
      <alignment horizontal="center" vertical="center"/>
    </xf>
    <xf numFmtId="0" fontId="28" fillId="2" borderId="58" xfId="0" applyFont="1" applyFill="1" applyBorder="1" applyAlignment="1">
      <alignment horizontal="center" vertical="center"/>
    </xf>
    <xf numFmtId="0" fontId="28" fillId="2" borderId="48" xfId="0" applyFont="1" applyFill="1" applyBorder="1" applyAlignment="1">
      <alignment horizontal="center"/>
    </xf>
    <xf numFmtId="167" fontId="28" fillId="2" borderId="48" xfId="0" applyNumberFormat="1" applyFont="1" applyFill="1" applyBorder="1" applyAlignment="1">
      <alignment horizontal="center"/>
    </xf>
    <xf numFmtId="0" fontId="28" fillId="2" borderId="51" xfId="0" applyFont="1" applyFill="1" applyBorder="1" applyAlignment="1">
      <alignment horizontal="center"/>
    </xf>
    <xf numFmtId="0" fontId="29" fillId="0" borderId="58" xfId="0" applyFont="1" applyBorder="1" applyAlignment="1">
      <alignment horizontal="center" vertical="center"/>
    </xf>
    <xf numFmtId="0" fontId="29" fillId="0" borderId="48" xfId="0" applyFont="1" applyBorder="1" applyAlignment="1">
      <alignment wrapText="1"/>
    </xf>
    <xf numFmtId="0" fontId="29" fillId="0" borderId="48" xfId="0" applyFont="1" applyBorder="1"/>
    <xf numFmtId="167" fontId="29" fillId="0" borderId="48" xfId="0" applyNumberFormat="1" applyFont="1" applyBorder="1"/>
    <xf numFmtId="169" fontId="29" fillId="0" borderId="48" xfId="0" applyNumberFormat="1" applyFont="1" applyBorder="1"/>
    <xf numFmtId="169" fontId="28" fillId="12" borderId="48" xfId="0" applyNumberFormat="1" applyFont="1" applyFill="1" applyBorder="1"/>
    <xf numFmtId="0" fontId="28" fillId="12" borderId="51" xfId="0" applyFont="1" applyFill="1" applyBorder="1"/>
    <xf numFmtId="0" fontId="28" fillId="2" borderId="48" xfId="0" applyFont="1" applyFill="1" applyBorder="1"/>
    <xf numFmtId="169" fontId="28" fillId="12" borderId="60" xfId="0" applyNumberFormat="1" applyFont="1" applyFill="1" applyBorder="1"/>
    <xf numFmtId="0" fontId="28" fillId="12" borderId="60" xfId="0" applyFont="1" applyFill="1" applyBorder="1" applyAlignment="1">
      <alignment horizontal="center"/>
    </xf>
    <xf numFmtId="0" fontId="28" fillId="2" borderId="61" xfId="0" applyFont="1" applyFill="1" applyBorder="1" applyAlignment="1">
      <alignment horizontal="center"/>
    </xf>
    <xf numFmtId="0" fontId="28" fillId="12" borderId="55" xfId="0" applyFont="1" applyFill="1" applyBorder="1" applyAlignment="1">
      <alignment horizontal="center" vertical="center"/>
    </xf>
    <xf numFmtId="0" fontId="29" fillId="12" borderId="50" xfId="0" applyFont="1" applyFill="1" applyBorder="1"/>
    <xf numFmtId="10" fontId="28" fillId="12" borderId="62" xfId="0" applyNumberFormat="1" applyFont="1" applyFill="1" applyBorder="1"/>
    <xf numFmtId="0" fontId="28" fillId="12" borderId="50" xfId="0" applyFont="1" applyFill="1" applyBorder="1"/>
    <xf numFmtId="4" fontId="28" fillId="12" borderId="62" xfId="0" applyNumberFormat="1" applyFont="1" applyFill="1" applyBorder="1"/>
    <xf numFmtId="0" fontId="28" fillId="12" borderId="63" xfId="0" applyFont="1" applyFill="1" applyBorder="1" applyAlignment="1">
      <alignment horizontal="center" vertical="center"/>
    </xf>
    <xf numFmtId="0" fontId="28" fillId="12" borderId="64" xfId="0" applyFont="1" applyFill="1" applyBorder="1"/>
    <xf numFmtId="43" fontId="28" fillId="12" borderId="65" xfId="7" applyFont="1" applyFill="1" applyBorder="1" applyAlignment="1"/>
    <xf numFmtId="2" fontId="35" fillId="2" borderId="48" xfId="0" applyNumberFormat="1" applyFont="1" applyFill="1" applyBorder="1" applyAlignment="1">
      <alignment horizontal="center" vertical="center" wrapText="1"/>
    </xf>
    <xf numFmtId="4" fontId="35" fillId="2" borderId="48" xfId="0" applyNumberFormat="1" applyFont="1" applyFill="1" applyBorder="1" applyAlignment="1">
      <alignment horizontal="center" vertical="center" wrapText="1"/>
    </xf>
    <xf numFmtId="0" fontId="35" fillId="2" borderId="48" xfId="0" applyFont="1" applyFill="1" applyBorder="1" applyAlignment="1">
      <alignment horizontal="center" vertical="center" wrapText="1"/>
    </xf>
    <xf numFmtId="0" fontId="14" fillId="3" borderId="50" xfId="0" applyFont="1" applyFill="1" applyBorder="1" applyAlignment="1">
      <alignment horizontal="center" vertical="center"/>
    </xf>
    <xf numFmtId="0" fontId="14" fillId="3" borderId="50" xfId="0" applyFont="1" applyFill="1" applyBorder="1" applyAlignment="1">
      <alignment horizontal="center" vertical="center" wrapText="1"/>
    </xf>
    <xf numFmtId="167" fontId="14" fillId="3" borderId="50" xfId="0" applyNumberFormat="1" applyFont="1" applyFill="1" applyBorder="1" applyAlignment="1">
      <alignment horizontal="center" vertical="center"/>
    </xf>
    <xf numFmtId="167" fontId="14" fillId="2" borderId="66" xfId="0" applyNumberFormat="1" applyFont="1" applyFill="1" applyBorder="1" applyAlignment="1">
      <alignment horizontal="center" vertical="center"/>
    </xf>
    <xf numFmtId="0" fontId="29" fillId="0" borderId="51" xfId="0" applyFont="1" applyBorder="1" applyAlignment="1">
      <alignment horizontal="center"/>
    </xf>
    <xf numFmtId="0" fontId="29" fillId="0" borderId="67" xfId="0" applyFont="1" applyBorder="1" applyAlignment="1">
      <alignment wrapText="1"/>
    </xf>
    <xf numFmtId="0" fontId="46" fillId="0" borderId="48" xfId="0" applyFont="1" applyBorder="1" applyAlignment="1">
      <alignment wrapText="1"/>
    </xf>
    <xf numFmtId="167" fontId="28" fillId="2" borderId="52" xfId="0" applyNumberFormat="1" applyFont="1" applyFill="1" applyBorder="1"/>
    <xf numFmtId="169" fontId="29" fillId="0" borderId="68" xfId="0" applyNumberFormat="1" applyFont="1" applyBorder="1"/>
    <xf numFmtId="0" fontId="29" fillId="0" borderId="68" xfId="0" applyFont="1" applyBorder="1" applyAlignment="1">
      <alignment horizontal="center"/>
    </xf>
    <xf numFmtId="0" fontId="29" fillId="0" borderId="69" xfId="0" applyFont="1" applyBorder="1" applyAlignment="1">
      <alignment horizontal="center"/>
    </xf>
    <xf numFmtId="169" fontId="29" fillId="0" borderId="1" xfId="0" applyNumberFormat="1" applyFont="1" applyBorder="1"/>
    <xf numFmtId="0" fontId="29" fillId="0" borderId="1" xfId="0" applyFont="1" applyBorder="1" applyAlignment="1">
      <alignment horizontal="center"/>
    </xf>
    <xf numFmtId="0" fontId="29" fillId="0" borderId="70" xfId="0" applyFont="1" applyBorder="1" applyAlignment="1">
      <alignment horizontal="center"/>
    </xf>
    <xf numFmtId="0" fontId="28" fillId="12" borderId="48" xfId="0" applyFont="1" applyFill="1" applyBorder="1" applyAlignment="1">
      <alignment horizontal="center"/>
    </xf>
    <xf numFmtId="0" fontId="28" fillId="12" borderId="48" xfId="0" applyFont="1" applyFill="1" applyBorder="1"/>
    <xf numFmtId="0" fontId="16" fillId="0" borderId="33" xfId="0" applyFont="1" applyBorder="1" applyAlignment="1">
      <alignment horizontal="center" vertical="center" wrapText="1"/>
    </xf>
    <xf numFmtId="167" fontId="28" fillId="2" borderId="52" xfId="0" applyNumberFormat="1" applyFont="1" applyFill="1" applyBorder="1" applyAlignment="1">
      <alignment horizontal="center"/>
    </xf>
    <xf numFmtId="0" fontId="28" fillId="12" borderId="62" xfId="0" applyFont="1" applyFill="1" applyBorder="1"/>
    <xf numFmtId="0" fontId="28" fillId="2" borderId="62" xfId="0" applyFont="1" applyFill="1" applyBorder="1" applyAlignment="1">
      <alignment horizontal="center"/>
    </xf>
    <xf numFmtId="169" fontId="28" fillId="12" borderId="52" xfId="0" applyNumberFormat="1" applyFont="1" applyFill="1" applyBorder="1"/>
    <xf numFmtId="0" fontId="28" fillId="2" borderId="52" xfId="0" applyFont="1" applyFill="1" applyBorder="1" applyAlignment="1">
      <alignment horizontal="center"/>
    </xf>
    <xf numFmtId="0" fontId="29" fillId="0" borderId="53" xfId="0" applyFont="1" applyBorder="1" applyAlignment="1">
      <alignment horizontal="left"/>
    </xf>
    <xf numFmtId="0" fontId="0" fillId="0" borderId="44" xfId="0" applyBorder="1" applyAlignment="1">
      <alignment horizontal="left" vertical="center"/>
    </xf>
    <xf numFmtId="0" fontId="0" fillId="0" borderId="44" xfId="0" applyBorder="1" applyAlignment="1">
      <alignment horizontal="center" vertical="center"/>
    </xf>
    <xf numFmtId="49" fontId="0" fillId="0" borderId="44" xfId="0" applyNumberFormat="1" applyBorder="1" applyAlignment="1">
      <alignment horizontal="center" vertical="center"/>
    </xf>
    <xf numFmtId="49" fontId="0" fillId="0" borderId="44" xfId="0" applyNumberFormat="1" applyBorder="1" applyAlignment="1">
      <alignment horizontal="left" vertical="center"/>
    </xf>
    <xf numFmtId="164" fontId="0" fillId="9" borderId="44" xfId="6" applyFont="1" applyFill="1" applyBorder="1" applyAlignment="1">
      <alignment horizontal="left" vertical="center"/>
    </xf>
    <xf numFmtId="14" fontId="0" fillId="0" borderId="44" xfId="0" applyNumberFormat="1" applyBorder="1" applyAlignment="1">
      <alignment horizontal="center" vertical="center"/>
    </xf>
    <xf numFmtId="164" fontId="0" fillId="8" borderId="44" xfId="6" applyFont="1" applyFill="1" applyBorder="1" applyAlignment="1">
      <alignment horizontal="center" vertical="center"/>
    </xf>
    <xf numFmtId="164" fontId="0" fillId="9" borderId="44" xfId="6" applyFont="1" applyFill="1" applyBorder="1" applyAlignment="1">
      <alignment horizontal="center" vertical="center"/>
    </xf>
    <xf numFmtId="10" fontId="5" fillId="0" borderId="0" xfId="3" applyNumberFormat="1" applyFont="1" applyAlignment="1">
      <alignment vertical="center"/>
    </xf>
    <xf numFmtId="0" fontId="2" fillId="3" borderId="44" xfId="0" applyFont="1" applyFill="1" applyBorder="1" applyAlignment="1">
      <alignment vertical="center"/>
    </xf>
    <xf numFmtId="0" fontId="2" fillId="3" borderId="44" xfId="0" applyFont="1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164" fontId="0" fillId="0" borderId="44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44" xfId="6" applyFont="1" applyBorder="1" applyAlignment="1">
      <alignment horizontal="center" vertical="center"/>
    </xf>
    <xf numFmtId="164" fontId="0" fillId="0" borderId="0" xfId="6" applyFont="1" applyBorder="1" applyAlignment="1">
      <alignment horizontal="center" vertical="center"/>
    </xf>
    <xf numFmtId="164" fontId="0" fillId="0" borderId="14" xfId="6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0" fontId="2" fillId="10" borderId="12" xfId="0" applyFont="1" applyFill="1" applyBorder="1" applyAlignment="1">
      <alignment horizontal="center" vertical="center"/>
    </xf>
    <xf numFmtId="0" fontId="12" fillId="10" borderId="1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4" fontId="0" fillId="0" borderId="0" xfId="6" applyFont="1" applyAlignment="1">
      <alignment horizontal="center" vertical="center"/>
    </xf>
    <xf numFmtId="0" fontId="2" fillId="10" borderId="11" xfId="0" applyFont="1" applyFill="1" applyBorder="1" applyAlignment="1">
      <alignment horizontal="center" vertical="center"/>
    </xf>
    <xf numFmtId="0" fontId="22" fillId="2" borderId="17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3" fillId="0" borderId="48" xfId="2" applyBorder="1" applyAlignment="1">
      <alignment horizontal="left" vertical="center"/>
    </xf>
    <xf numFmtId="0" fontId="4" fillId="0" borderId="48" xfId="2" applyFont="1" applyBorder="1" applyAlignment="1">
      <alignment horizontal="center" vertical="center"/>
    </xf>
    <xf numFmtId="0" fontId="7" fillId="0" borderId="48" xfId="2" applyFont="1" applyBorder="1" applyAlignment="1">
      <alignment horizontal="center" vertical="center"/>
    </xf>
    <xf numFmtId="0" fontId="4" fillId="2" borderId="48" xfId="2" applyFont="1" applyFill="1" applyBorder="1" applyAlignment="1">
      <alignment horizontal="center" vertical="center"/>
    </xf>
    <xf numFmtId="0" fontId="3" fillId="0" borderId="0" xfId="2" applyAlignment="1">
      <alignment horizontal="left" vertical="center"/>
    </xf>
    <xf numFmtId="0" fontId="5" fillId="0" borderId="44" xfId="2" applyFont="1" applyBorder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5" fillId="0" borderId="2" xfId="2" applyFont="1" applyBorder="1" applyAlignment="1">
      <alignment horizontal="left" vertical="center"/>
    </xf>
    <xf numFmtId="0" fontId="4" fillId="0" borderId="48" xfId="2" applyFont="1" applyBorder="1" applyAlignment="1">
      <alignment horizontal="left" vertical="center"/>
    </xf>
    <xf numFmtId="0" fontId="3" fillId="0" borderId="48" xfId="2" applyBorder="1" applyAlignment="1">
      <alignment vertical="center"/>
    </xf>
    <xf numFmtId="0" fontId="4" fillId="5" borderId="54" xfId="2" applyFont="1" applyFill="1" applyBorder="1" applyAlignment="1">
      <alignment horizontal="center" vertical="center"/>
    </xf>
    <xf numFmtId="0" fontId="4" fillId="5" borderId="44" xfId="2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horizontal="center" vertical="center"/>
    </xf>
    <xf numFmtId="0" fontId="4" fillId="5" borderId="4" xfId="2" applyFont="1" applyFill="1" applyBorder="1" applyAlignment="1">
      <alignment horizontal="center" vertical="center"/>
    </xf>
    <xf numFmtId="0" fontId="4" fillId="5" borderId="2" xfId="2" applyFont="1" applyFill="1" applyBorder="1" applyAlignment="1">
      <alignment horizontal="center" vertical="center"/>
    </xf>
    <xf numFmtId="0" fontId="4" fillId="5" borderId="55" xfId="2" applyFont="1" applyFill="1" applyBorder="1" applyAlignment="1">
      <alignment horizontal="center" vertical="center"/>
    </xf>
    <xf numFmtId="0" fontId="4" fillId="5" borderId="50" xfId="2" applyFont="1" applyFill="1" applyBorder="1" applyAlignment="1">
      <alignment horizontal="center" vertical="center"/>
    </xf>
    <xf numFmtId="0" fontId="3" fillId="0" borderId="48" xfId="2" applyBorder="1" applyAlignment="1">
      <alignment horizontal="left" vertical="center" wrapText="1"/>
    </xf>
    <xf numFmtId="0" fontId="4" fillId="0" borderId="52" xfId="2" applyFont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0" fontId="4" fillId="0" borderId="50" xfId="2" applyFont="1" applyBorder="1" applyAlignment="1">
      <alignment horizontal="left" vertical="center" wrapText="1"/>
    </xf>
    <xf numFmtId="0" fontId="4" fillId="0" borderId="53" xfId="2" applyFont="1" applyBorder="1" applyAlignment="1">
      <alignment horizontal="left" vertical="center" wrapText="1"/>
    </xf>
    <xf numFmtId="0" fontId="4" fillId="5" borderId="48" xfId="2" applyFont="1" applyFill="1" applyBorder="1" applyAlignment="1">
      <alignment horizontal="center" vertical="center"/>
    </xf>
    <xf numFmtId="0" fontId="4" fillId="5" borderId="52" xfId="2" applyFont="1" applyFill="1" applyBorder="1" applyAlignment="1">
      <alignment horizontal="center" vertical="center"/>
    </xf>
    <xf numFmtId="0" fontId="3" fillId="0" borderId="52" xfId="2" applyBorder="1" applyAlignment="1">
      <alignment horizontal="left" vertical="center"/>
    </xf>
    <xf numFmtId="0" fontId="3" fillId="0" borderId="50" xfId="2" applyBorder="1" applyAlignment="1">
      <alignment horizontal="left" vertical="center"/>
    </xf>
    <xf numFmtId="0" fontId="3" fillId="0" borderId="53" xfId="2" applyBorder="1" applyAlignment="1">
      <alignment horizontal="left" vertical="center"/>
    </xf>
    <xf numFmtId="0" fontId="4" fillId="6" borderId="48" xfId="2" applyFont="1" applyFill="1" applyBorder="1" applyAlignment="1">
      <alignment horizontal="center" vertical="center"/>
    </xf>
    <xf numFmtId="0" fontId="4" fillId="5" borderId="3" xfId="2" applyFont="1" applyFill="1" applyBorder="1" applyAlignment="1">
      <alignment horizontal="center" vertical="center"/>
    </xf>
    <xf numFmtId="0" fontId="4" fillId="5" borderId="0" xfId="2" applyFont="1" applyFill="1" applyAlignment="1">
      <alignment horizontal="center" vertical="center"/>
    </xf>
    <xf numFmtId="14" fontId="3" fillId="0" borderId="48" xfId="2" applyNumberFormat="1" applyBorder="1" applyAlignment="1">
      <alignment horizontal="center" vertical="center"/>
    </xf>
    <xf numFmtId="0" fontId="3" fillId="0" borderId="48" xfId="2" applyBorder="1" applyAlignment="1">
      <alignment horizontal="center" vertical="center"/>
    </xf>
    <xf numFmtId="0" fontId="3" fillId="0" borderId="0" xfId="2" applyAlignment="1">
      <alignment horizontal="center" vertical="center"/>
    </xf>
    <xf numFmtId="168" fontId="3" fillId="0" borderId="48" xfId="2" applyNumberFormat="1" applyBorder="1" applyAlignment="1">
      <alignment horizontal="center" vertical="center"/>
    </xf>
    <xf numFmtId="0" fontId="3" fillId="0" borderId="2" xfId="2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3" fillId="0" borderId="0" xfId="2" applyAlignment="1">
      <alignment horizont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left" vertical="center"/>
    </xf>
    <xf numFmtId="0" fontId="3" fillId="0" borderId="48" xfId="2" applyBorder="1" applyAlignment="1">
      <alignment horizontal="center" vertical="center" wrapText="1"/>
    </xf>
    <xf numFmtId="164" fontId="3" fillId="0" borderId="48" xfId="6" applyFont="1" applyBorder="1" applyAlignment="1">
      <alignment horizontal="center" vertical="center"/>
    </xf>
    <xf numFmtId="0" fontId="3" fillId="0" borderId="45" xfId="2" applyBorder="1" applyAlignment="1">
      <alignment horizontal="center" vertical="center"/>
    </xf>
    <xf numFmtId="0" fontId="3" fillId="0" borderId="44" xfId="2" applyBorder="1" applyAlignment="1">
      <alignment horizontal="center" vertical="center"/>
    </xf>
    <xf numFmtId="0" fontId="3" fillId="0" borderId="46" xfId="2" applyBorder="1" applyAlignment="1">
      <alignment horizontal="center" vertical="center"/>
    </xf>
    <xf numFmtId="0" fontId="3" fillId="0" borderId="7" xfId="2" applyBorder="1" applyAlignment="1">
      <alignment horizontal="center" vertical="center"/>
    </xf>
    <xf numFmtId="0" fontId="3" fillId="0" borderId="8" xfId="2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1" fillId="3" borderId="15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/>
    </xf>
    <xf numFmtId="0" fontId="35" fillId="0" borderId="57" xfId="0" applyFont="1" applyBorder="1" applyAlignment="1">
      <alignment horizontal="center" vertical="center"/>
    </xf>
    <xf numFmtId="0" fontId="36" fillId="0" borderId="31" xfId="0" applyFont="1" applyBorder="1" applyAlignment="1">
      <alignment horizontal="left" vertical="center" wrapText="1"/>
    </xf>
    <xf numFmtId="0" fontId="36" fillId="0" borderId="31" xfId="0" applyFont="1" applyBorder="1" applyAlignment="1">
      <alignment horizontal="left" vertical="center"/>
    </xf>
    <xf numFmtId="0" fontId="36" fillId="0" borderId="32" xfId="0" applyFont="1" applyBorder="1" applyAlignment="1">
      <alignment horizontal="left" vertical="center"/>
    </xf>
    <xf numFmtId="0" fontId="35" fillId="0" borderId="57" xfId="0" applyFont="1" applyBorder="1" applyAlignment="1">
      <alignment horizontal="right" vertical="center"/>
    </xf>
    <xf numFmtId="0" fontId="32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3" fillId="15" borderId="57" xfId="0" applyFont="1" applyFill="1" applyBorder="1" applyAlignment="1">
      <alignment horizontal="center" vertical="center" wrapText="1"/>
    </xf>
    <xf numFmtId="0" fontId="37" fillId="0" borderId="57" xfId="0" applyFont="1" applyBorder="1" applyAlignment="1">
      <alignment horizontal="left" vertical="center"/>
    </xf>
    <xf numFmtId="0" fontId="37" fillId="0" borderId="57" xfId="0" applyFont="1" applyBorder="1" applyAlignment="1">
      <alignment horizontal="right" vertical="center"/>
    </xf>
    <xf numFmtId="0" fontId="18" fillId="0" borderId="14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0" fontId="12" fillId="0" borderId="0" xfId="0" applyFont="1" applyAlignment="1">
      <alignment horizontal="center"/>
    </xf>
    <xf numFmtId="0" fontId="25" fillId="0" borderId="12" xfId="0" applyFont="1" applyBorder="1" applyAlignment="1">
      <alignment horizontal="left" vertical="top" wrapText="1"/>
    </xf>
    <xf numFmtId="0" fontId="2" fillId="3" borderId="0" xfId="0" applyFont="1" applyFill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5" fillId="0" borderId="0" xfId="0" applyFont="1" applyAlignment="1">
      <alignment horizontal="left" vertical="top" wrapText="1"/>
    </xf>
    <xf numFmtId="0" fontId="19" fillId="2" borderId="12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28" fillId="12" borderId="29" xfId="0" applyFont="1" applyFill="1" applyBorder="1" applyAlignment="1">
      <alignment horizontal="right"/>
    </xf>
    <xf numFmtId="0" fontId="28" fillId="12" borderId="58" xfId="0" applyFont="1" applyFill="1" applyBorder="1" applyAlignment="1">
      <alignment horizontal="right" vertical="center"/>
    </xf>
    <xf numFmtId="0" fontId="28" fillId="12" borderId="48" xfId="0" applyFont="1" applyFill="1" applyBorder="1" applyAlignment="1">
      <alignment horizontal="right" vertical="center"/>
    </xf>
    <xf numFmtId="0" fontId="28" fillId="12" borderId="59" xfId="0" applyFont="1" applyFill="1" applyBorder="1" applyAlignment="1">
      <alignment horizontal="right" vertical="center"/>
    </xf>
    <xf numFmtId="0" fontId="28" fillId="12" borderId="60" xfId="0" applyFont="1" applyFill="1" applyBorder="1" applyAlignment="1">
      <alignment horizontal="right" vertical="center"/>
    </xf>
    <xf numFmtId="0" fontId="28" fillId="12" borderId="23" xfId="0" applyFont="1" applyFill="1" applyBorder="1" applyAlignment="1">
      <alignment horizontal="right"/>
    </xf>
    <xf numFmtId="0" fontId="28" fillId="12" borderId="18" xfId="0" applyFont="1" applyFill="1" applyBorder="1" applyAlignment="1">
      <alignment horizontal="right"/>
    </xf>
    <xf numFmtId="0" fontId="28" fillId="12" borderId="24" xfId="0" applyFont="1" applyFill="1" applyBorder="1" applyAlignment="1">
      <alignment horizontal="right"/>
    </xf>
    <xf numFmtId="0" fontId="28" fillId="12" borderId="50" xfId="0" applyFont="1" applyFill="1" applyBorder="1" applyAlignment="1">
      <alignment horizontal="right"/>
    </xf>
    <xf numFmtId="0" fontId="28" fillId="12" borderId="64" xfId="0" applyFont="1" applyFill="1" applyBorder="1" applyAlignment="1">
      <alignment horizontal="right"/>
    </xf>
    <xf numFmtId="0" fontId="28" fillId="12" borderId="52" xfId="0" applyFont="1" applyFill="1" applyBorder="1" applyAlignment="1">
      <alignment horizontal="right" vertical="center"/>
    </xf>
    <xf numFmtId="0" fontId="18" fillId="0" borderId="52" xfId="0" applyFont="1" applyBorder="1" applyAlignment="1">
      <alignment horizontal="center" vertical="center"/>
    </xf>
    <xf numFmtId="0" fontId="26" fillId="0" borderId="50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26" fillId="0" borderId="53" xfId="0" applyFont="1" applyBorder="1" applyAlignment="1">
      <alignment horizontal="center" vertical="center"/>
    </xf>
    <xf numFmtId="0" fontId="28" fillId="12" borderId="58" xfId="0" applyFont="1" applyFill="1" applyBorder="1" applyAlignment="1">
      <alignment horizontal="right"/>
    </xf>
    <xf numFmtId="0" fontId="28" fillId="12" borderId="48" xfId="0" applyFont="1" applyFill="1" applyBorder="1" applyAlignment="1">
      <alignment horizontal="right"/>
    </xf>
    <xf numFmtId="0" fontId="28" fillId="12" borderId="52" xfId="0" applyFont="1" applyFill="1" applyBorder="1" applyAlignment="1">
      <alignment horizontal="right"/>
    </xf>
    <xf numFmtId="0" fontId="40" fillId="17" borderId="48" xfId="0" applyFont="1" applyFill="1" applyBorder="1" applyAlignment="1">
      <alignment horizontal="center" vertical="center"/>
    </xf>
    <xf numFmtId="0" fontId="33" fillId="2" borderId="48" xfId="0" applyFont="1" applyFill="1" applyBorder="1" applyAlignment="1">
      <alignment horizontal="center" vertical="center"/>
    </xf>
    <xf numFmtId="0" fontId="33" fillId="2" borderId="48" xfId="0" applyFont="1" applyFill="1" applyBorder="1" applyAlignment="1">
      <alignment horizontal="center" vertical="center" wrapText="1"/>
    </xf>
    <xf numFmtId="2" fontId="38" fillId="2" borderId="48" xfId="0" applyNumberFormat="1" applyFont="1" applyFill="1" applyBorder="1" applyAlignment="1">
      <alignment horizontal="center" vertical="center"/>
    </xf>
    <xf numFmtId="0" fontId="38" fillId="18" borderId="48" xfId="0" applyFont="1" applyFill="1" applyBorder="1" applyAlignment="1">
      <alignment horizontal="center" vertical="center"/>
    </xf>
    <xf numFmtId="0" fontId="2" fillId="10" borderId="12" xfId="0" applyFont="1" applyFill="1" applyBorder="1" applyAlignment="1">
      <alignment horizontal="center"/>
    </xf>
    <xf numFmtId="0" fontId="14" fillId="2" borderId="66" xfId="0" applyFont="1" applyFill="1" applyBorder="1" applyAlignment="1">
      <alignment horizontal="center" vertical="center"/>
    </xf>
    <xf numFmtId="0" fontId="14" fillId="3" borderId="50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2" fillId="10" borderId="13" xfId="0" applyFont="1" applyFill="1" applyBorder="1" applyAlignment="1">
      <alignment horizontal="center"/>
    </xf>
  </cellXfs>
  <cellStyles count="23">
    <cellStyle name="Hiperlink" xfId="9" builtinId="8"/>
    <cellStyle name="Moeda" xfId="6" builtinId="4"/>
    <cellStyle name="Moeda 2" xfId="8" xr:uid="{6F3DF74B-83FE-48E8-B7D2-1871FC592213}"/>
    <cellStyle name="Moeda 2 2" xfId="14" xr:uid="{C0DD8BAF-D662-4C6D-9071-31C3DF0E4B60}"/>
    <cellStyle name="Moeda 2 2 2" xfId="21" xr:uid="{D02AC2DC-9F8D-4126-9684-26BF14170553}"/>
    <cellStyle name="Moeda 2 3" xfId="17" xr:uid="{277A10BA-577E-41B6-BC6A-D8AF7E54CCB8}"/>
    <cellStyle name="Moeda 3" xfId="4" xr:uid="{808B5339-4C0D-46E1-8635-0F69445771DA}"/>
    <cellStyle name="Moeda 3 2" xfId="15" xr:uid="{4FD7C20A-DCE7-4847-823A-48B8493947E3}"/>
    <cellStyle name="Moeda 3 2 2" xfId="22" xr:uid="{1E8F6C6E-40CC-444F-978D-A1D373B2D7D0}"/>
    <cellStyle name="Moeda 4" xfId="10" xr:uid="{65684B29-D94A-4E82-BF00-31DE7CF4F75B}"/>
    <cellStyle name="Moeda 4 2" xfId="18" xr:uid="{3AEDAFD0-C331-4ADF-9668-5A31F64D1CAF}"/>
    <cellStyle name="Moeda 5" xfId="12" xr:uid="{41E7B8D0-ADD4-4241-9427-42A1C8087A84}"/>
    <cellStyle name="Moeda 5 2" xfId="19" xr:uid="{6FC385BF-9B98-429F-9CEF-58305C30E9DC}"/>
    <cellStyle name="Moeda 6" xfId="13" xr:uid="{7B01B530-78F4-4AE5-A0F7-B957EB02223C}"/>
    <cellStyle name="Moeda 6 2" xfId="20" xr:uid="{6B462916-E9C1-4B0C-9F1E-F4D79904AC1B}"/>
    <cellStyle name="Normal" xfId="0" builtinId="0"/>
    <cellStyle name="Normal 2" xfId="2" xr:uid="{1465AF81-0025-41F7-A8A9-10FB7BAC5101}"/>
    <cellStyle name="Normal 2 2" xfId="5" xr:uid="{BFAE33D4-1961-435A-A000-505E248F19CB}"/>
    <cellStyle name="Normal 3" xfId="11" xr:uid="{9D20C1B3-08E0-4DA3-8836-E0CE9780436E}"/>
    <cellStyle name="Porcentagem 2" xfId="3" xr:uid="{947EA1A2-51CE-4182-9FCF-CB917206EB31}"/>
    <cellStyle name="Vírgula" xfId="1" builtinId="3"/>
    <cellStyle name="Vírgula 2" xfId="7" xr:uid="{35C80681-BE1B-49AA-B9E8-8B152FB6DE6A}"/>
    <cellStyle name="Vírgula 2 2" xfId="16" xr:uid="{CD7425BB-39EE-4333-9533-27BFF7AD2FDF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975360</xdr:colOff>
      <xdr:row>2</xdr:row>
      <xdr:rowOff>160020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E4F7D353-2858-4D71-8DED-C1DAB032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2880"/>
          <a:ext cx="97536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975360</xdr:colOff>
      <xdr:row>2</xdr:row>
      <xdr:rowOff>161501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79BBE453-4D69-42C7-A5B5-0BBB1CB9E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2880"/>
          <a:ext cx="975360" cy="344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lario.com.br/profissao/assistente-administrativo-cbo-411010/sao-paulo-sp/" TargetMode="External"/><Relationship Id="rId2" Type="http://schemas.openxmlformats.org/officeDocument/2006/relationships/hyperlink" Target="https://www.infojobs.com.br/salario/assistente-administrativo?il=64&amp;pn=1" TargetMode="External"/><Relationship Id="rId1" Type="http://schemas.openxmlformats.org/officeDocument/2006/relationships/hyperlink" Target="https://dissidio.com.br/salario/assistente-administrativo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2D5BD-05E9-45E4-AE56-BA3038B6A274}">
  <dimension ref="B3:J115"/>
  <sheetViews>
    <sheetView showGridLines="0" topLeftCell="A70" zoomScale="80" zoomScaleNormal="80" workbookViewId="0">
      <selection activeCell="H34" sqref="H34"/>
    </sheetView>
  </sheetViews>
  <sheetFormatPr defaultColWidth="8.85546875" defaultRowHeight="15" x14ac:dyDescent="0.25"/>
  <cols>
    <col min="1" max="1" width="8.85546875" style="24"/>
    <col min="2" max="2" width="67.85546875" style="24" bestFit="1" customWidth="1"/>
    <col min="3" max="3" width="19.42578125" style="24" bestFit="1" customWidth="1"/>
    <col min="4" max="4" width="17.5703125" style="24" customWidth="1"/>
    <col min="5" max="5" width="40.42578125" style="24" bestFit="1" customWidth="1"/>
    <col min="6" max="6" width="17.5703125" style="24" bestFit="1" customWidth="1"/>
    <col min="7" max="7" width="15.42578125" style="24" bestFit="1" customWidth="1"/>
    <col min="8" max="8" width="16.85546875" style="24" bestFit="1" customWidth="1"/>
    <col min="9" max="9" width="12.5703125" style="24" customWidth="1"/>
    <col min="10" max="10" width="15.5703125" style="24" bestFit="1" customWidth="1"/>
    <col min="11" max="16384" width="8.85546875" style="24"/>
  </cols>
  <sheetData>
    <row r="3" spans="2:10" ht="15.75" thickBot="1" x14ac:dyDescent="0.3">
      <c r="J3" s="28"/>
    </row>
    <row r="4" spans="2:10" ht="20.25" thickTop="1" thickBot="1" x14ac:dyDescent="0.3">
      <c r="B4" s="298" t="s">
        <v>0</v>
      </c>
      <c r="C4" s="298"/>
      <c r="D4" s="298"/>
      <c r="E4" s="298"/>
      <c r="F4" s="298"/>
      <c r="G4" s="298"/>
      <c r="H4" s="298"/>
      <c r="I4" s="298"/>
      <c r="J4" s="298"/>
    </row>
    <row r="5" spans="2:10" ht="19.5" thickTop="1" x14ac:dyDescent="0.25">
      <c r="B5" s="47"/>
      <c r="C5" s="47"/>
      <c r="D5" s="47"/>
      <c r="E5" s="47"/>
      <c r="F5" s="47"/>
      <c r="G5" s="47"/>
      <c r="H5" s="47"/>
      <c r="I5" s="47"/>
      <c r="J5" s="47"/>
    </row>
    <row r="6" spans="2:10" ht="18.75" x14ac:dyDescent="0.25">
      <c r="B6" s="47"/>
      <c r="C6" s="47"/>
      <c r="D6" s="47"/>
      <c r="E6" s="47"/>
      <c r="F6" s="47"/>
      <c r="G6" s="47"/>
      <c r="H6" s="47"/>
      <c r="I6" s="47"/>
      <c r="J6" s="47"/>
    </row>
    <row r="7" spans="2:10" ht="15.75" thickBot="1" x14ac:dyDescent="0.3">
      <c r="J7" s="28"/>
    </row>
    <row r="8" spans="2:10" ht="15.75" thickTop="1" x14ac:dyDescent="0.25">
      <c r="B8" s="302" t="s">
        <v>1</v>
      </c>
      <c r="C8" s="302"/>
      <c r="D8" s="302"/>
      <c r="E8" s="302"/>
      <c r="F8" s="302"/>
      <c r="G8" s="302"/>
      <c r="H8" s="302"/>
      <c r="I8" s="302"/>
      <c r="J8" s="302"/>
    </row>
    <row r="9" spans="2:10" ht="30" x14ac:dyDescent="0.25">
      <c r="B9" s="41" t="s">
        <v>2</v>
      </c>
      <c r="C9" s="41" t="s">
        <v>3</v>
      </c>
      <c r="D9" s="41" t="s">
        <v>4</v>
      </c>
      <c r="E9" s="41" t="s">
        <v>5</v>
      </c>
      <c r="F9" s="41" t="s">
        <v>6</v>
      </c>
      <c r="G9" s="41" t="s">
        <v>7</v>
      </c>
      <c r="H9" s="41" t="s">
        <v>8</v>
      </c>
      <c r="I9" s="41" t="s">
        <v>9</v>
      </c>
      <c r="J9" s="41" t="s">
        <v>10</v>
      </c>
    </row>
    <row r="10" spans="2:10" x14ac:dyDescent="0.25">
      <c r="B10" s="276" t="s">
        <v>11</v>
      </c>
      <c r="C10" s="277">
        <v>343009</v>
      </c>
      <c r="D10" s="278" t="s">
        <v>12</v>
      </c>
      <c r="E10" s="279" t="s">
        <v>13</v>
      </c>
      <c r="F10" s="278" t="s">
        <v>14</v>
      </c>
      <c r="G10" s="280">
        <v>2729.16</v>
      </c>
      <c r="H10" s="288">
        <f>AVERAGE(G10:G15)</f>
        <v>2273.7511111111112</v>
      </c>
      <c r="I10" s="288">
        <f>STDEV(G10:G15)</f>
        <v>259.9363161123751</v>
      </c>
      <c r="J10" s="294">
        <f>AVERAGE(G11,G12,G13,G15)</f>
        <v>2244.336666666667</v>
      </c>
    </row>
    <row r="11" spans="2:10" x14ac:dyDescent="0.25">
      <c r="B11" s="24" t="s">
        <v>15</v>
      </c>
      <c r="C11" s="26">
        <v>393025</v>
      </c>
      <c r="D11" s="37" t="s">
        <v>16</v>
      </c>
      <c r="E11" s="32" t="s">
        <v>17</v>
      </c>
      <c r="F11" s="37" t="s">
        <v>18</v>
      </c>
      <c r="G11" s="33">
        <v>2309.91</v>
      </c>
      <c r="H11" s="289"/>
      <c r="I11" s="289"/>
      <c r="J11" s="299"/>
    </row>
    <row r="12" spans="2:10" x14ac:dyDescent="0.25">
      <c r="B12" s="24" t="s">
        <v>19</v>
      </c>
      <c r="C12" s="26">
        <v>130067</v>
      </c>
      <c r="D12" s="37" t="s">
        <v>20</v>
      </c>
      <c r="E12" s="32" t="s">
        <v>21</v>
      </c>
      <c r="F12" s="37" t="s">
        <v>22</v>
      </c>
      <c r="G12" s="33">
        <v>2194.35</v>
      </c>
      <c r="H12" s="289"/>
      <c r="I12" s="289"/>
      <c r="J12" s="299"/>
    </row>
    <row r="13" spans="2:10" x14ac:dyDescent="0.25">
      <c r="B13" s="34" t="s">
        <v>23</v>
      </c>
      <c r="C13" s="26" t="s">
        <v>24</v>
      </c>
      <c r="D13" s="26" t="s">
        <v>24</v>
      </c>
      <c r="E13" s="26" t="s">
        <v>24</v>
      </c>
      <c r="F13" s="26" t="s">
        <v>24</v>
      </c>
      <c r="G13" s="33">
        <v>2181.86</v>
      </c>
      <c r="H13" s="289"/>
      <c r="I13" s="289"/>
      <c r="J13" s="299"/>
    </row>
    <row r="14" spans="2:10" x14ac:dyDescent="0.25">
      <c r="B14" s="35" t="s">
        <v>25</v>
      </c>
      <c r="C14" s="26" t="s">
        <v>24</v>
      </c>
      <c r="D14" s="26" t="s">
        <v>24</v>
      </c>
      <c r="E14" s="26" t="s">
        <v>24</v>
      </c>
      <c r="F14" s="26" t="s">
        <v>24</v>
      </c>
      <c r="G14" s="36">
        <v>1936</v>
      </c>
      <c r="H14" s="289"/>
      <c r="I14" s="289"/>
      <c r="J14" s="299"/>
    </row>
    <row r="15" spans="2:10" ht="15.75" thickBot="1" x14ac:dyDescent="0.3">
      <c r="B15" s="38" t="s">
        <v>26</v>
      </c>
      <c r="C15" s="39" t="s">
        <v>24</v>
      </c>
      <c r="D15" s="39" t="s">
        <v>24</v>
      </c>
      <c r="E15" s="39" t="s">
        <v>24</v>
      </c>
      <c r="F15" s="39" t="s">
        <v>24</v>
      </c>
      <c r="G15" s="40">
        <f>2187.08*44/42</f>
        <v>2291.2266666666665</v>
      </c>
      <c r="H15" s="290"/>
      <c r="I15" s="290"/>
      <c r="J15" s="300"/>
    </row>
    <row r="16" spans="2:10" ht="15.75" thickTop="1" x14ac:dyDescent="0.25">
      <c r="B16" s="35"/>
      <c r="C16" s="26"/>
      <c r="D16" s="26"/>
      <c r="E16" s="26"/>
      <c r="F16" s="26"/>
      <c r="G16" s="56"/>
      <c r="H16" s="55"/>
      <c r="I16" s="55"/>
      <c r="J16" s="42"/>
    </row>
    <row r="17" spans="2:10" x14ac:dyDescent="0.25">
      <c r="B17" s="27"/>
      <c r="C17" s="27"/>
      <c r="D17" s="27"/>
      <c r="E17" s="27"/>
      <c r="F17" s="27"/>
      <c r="G17" s="25"/>
    </row>
    <row r="18" spans="2:10" ht="15.75" thickBot="1" x14ac:dyDescent="0.3">
      <c r="I18" s="28"/>
    </row>
    <row r="19" spans="2:10" ht="15.75" thickTop="1" x14ac:dyDescent="0.25">
      <c r="B19" s="297" t="s">
        <v>27</v>
      </c>
      <c r="C19" s="297"/>
      <c r="D19" s="297"/>
      <c r="E19" s="297"/>
      <c r="F19" s="297"/>
      <c r="G19" s="297"/>
      <c r="H19" s="297"/>
      <c r="I19" s="28"/>
    </row>
    <row r="20" spans="2:10" x14ac:dyDescent="0.25">
      <c r="B20" s="185" t="s">
        <v>2</v>
      </c>
      <c r="C20" s="185" t="s">
        <v>3</v>
      </c>
      <c r="D20" s="185" t="s">
        <v>4</v>
      </c>
      <c r="E20" s="185" t="s">
        <v>5</v>
      </c>
      <c r="F20" s="185" t="s">
        <v>6</v>
      </c>
      <c r="G20" s="185" t="s">
        <v>7</v>
      </c>
      <c r="H20" s="185" t="s">
        <v>8</v>
      </c>
      <c r="I20" s="29"/>
      <c r="J20" s="29"/>
    </row>
    <row r="21" spans="2:10" x14ac:dyDescent="0.25">
      <c r="B21" s="24" t="s">
        <v>11</v>
      </c>
      <c r="C21" s="26">
        <v>343009</v>
      </c>
      <c r="D21" s="37" t="s">
        <v>12</v>
      </c>
      <c r="E21" s="32" t="s">
        <v>13</v>
      </c>
      <c r="F21" s="37" t="s">
        <v>14</v>
      </c>
      <c r="G21" s="43">
        <v>8</v>
      </c>
      <c r="H21" s="295">
        <f>AVERAGE(G21:G27)</f>
        <v>3.2871428571428574</v>
      </c>
      <c r="I21" s="301"/>
      <c r="J21" s="295"/>
    </row>
    <row r="22" spans="2:10" x14ac:dyDescent="0.25">
      <c r="B22" s="24" t="s">
        <v>15</v>
      </c>
      <c r="C22" s="26">
        <v>393025</v>
      </c>
      <c r="D22" s="26" t="s">
        <v>16</v>
      </c>
      <c r="E22" s="24" t="s">
        <v>17</v>
      </c>
      <c r="F22" s="26" t="s">
        <v>18</v>
      </c>
      <c r="G22" s="43">
        <v>1.41</v>
      </c>
      <c r="H22" s="295"/>
      <c r="I22" s="301"/>
      <c r="J22" s="295"/>
    </row>
    <row r="23" spans="2:10" x14ac:dyDescent="0.25">
      <c r="B23" s="24" t="s">
        <v>19</v>
      </c>
      <c r="C23" s="26">
        <v>130067</v>
      </c>
      <c r="D23" s="37" t="s">
        <v>20</v>
      </c>
      <c r="E23" s="24" t="s">
        <v>21</v>
      </c>
      <c r="F23" s="26" t="s">
        <v>22</v>
      </c>
      <c r="G23" s="43">
        <v>2.4</v>
      </c>
      <c r="H23" s="295"/>
      <c r="I23" s="301"/>
      <c r="J23" s="295"/>
    </row>
    <row r="24" spans="2:10" x14ac:dyDescent="0.25">
      <c r="B24" s="24" t="s">
        <v>28</v>
      </c>
      <c r="C24" s="26">
        <v>389423</v>
      </c>
      <c r="D24" s="44" t="s">
        <v>29</v>
      </c>
      <c r="E24" s="24" t="s">
        <v>30</v>
      </c>
      <c r="F24" s="26" t="s">
        <v>31</v>
      </c>
      <c r="G24" s="43">
        <v>2.4</v>
      </c>
      <c r="H24" s="295"/>
      <c r="I24" s="301"/>
      <c r="J24" s="295"/>
    </row>
    <row r="25" spans="2:10" x14ac:dyDescent="0.25">
      <c r="B25" s="24" t="s">
        <v>32</v>
      </c>
      <c r="C25" s="26">
        <v>200050</v>
      </c>
      <c r="D25" s="44" t="s">
        <v>33</v>
      </c>
      <c r="E25" s="24" t="s">
        <v>34</v>
      </c>
      <c r="F25" s="26" t="s">
        <v>35</v>
      </c>
      <c r="G25" s="43">
        <v>0.6</v>
      </c>
      <c r="H25" s="295"/>
      <c r="I25" s="301"/>
      <c r="J25" s="295"/>
    </row>
    <row r="26" spans="2:10" x14ac:dyDescent="0.25">
      <c r="B26" s="24" t="s">
        <v>36</v>
      </c>
      <c r="C26" s="26">
        <v>158154</v>
      </c>
      <c r="D26" s="26" t="s">
        <v>37</v>
      </c>
      <c r="E26" s="24" t="s">
        <v>38</v>
      </c>
      <c r="F26" s="26" t="s">
        <v>39</v>
      </c>
      <c r="G26" s="43">
        <v>7.6</v>
      </c>
      <c r="H26" s="295"/>
      <c r="I26" s="301"/>
      <c r="J26" s="295"/>
    </row>
    <row r="27" spans="2:10" ht="15.75" thickBot="1" x14ac:dyDescent="0.3">
      <c r="B27" s="45" t="s">
        <v>40</v>
      </c>
      <c r="C27" s="39">
        <v>510178</v>
      </c>
      <c r="D27" s="39" t="s">
        <v>41</v>
      </c>
      <c r="E27" s="45" t="s">
        <v>42</v>
      </c>
      <c r="F27" s="39" t="s">
        <v>43</v>
      </c>
      <c r="G27" s="46">
        <v>0.6</v>
      </c>
      <c r="H27" s="296"/>
      <c r="I27" s="301"/>
      <c r="J27" s="295"/>
    </row>
    <row r="28" spans="2:10" ht="15.75" thickTop="1" x14ac:dyDescent="0.25">
      <c r="C28" s="26"/>
      <c r="D28" s="26"/>
      <c r="F28" s="26"/>
      <c r="G28" s="43"/>
      <c r="H28" s="31"/>
      <c r="I28" s="30"/>
      <c r="J28" s="31"/>
    </row>
    <row r="30" spans="2:10" ht="15.75" thickBot="1" x14ac:dyDescent="0.3"/>
    <row r="31" spans="2:10" ht="15.75" thickTop="1" x14ac:dyDescent="0.25">
      <c r="B31" s="297" t="s">
        <v>44</v>
      </c>
      <c r="C31" s="297"/>
      <c r="D31" s="297"/>
      <c r="E31" s="297"/>
      <c r="F31" s="297"/>
      <c r="G31" s="297"/>
      <c r="H31" s="297"/>
    </row>
    <row r="32" spans="2:10" ht="33.6" customHeight="1" x14ac:dyDescent="0.25">
      <c r="B32" s="186" t="s">
        <v>44</v>
      </c>
      <c r="C32" s="186" t="s">
        <v>6</v>
      </c>
      <c r="D32" s="186" t="s">
        <v>45</v>
      </c>
      <c r="E32" s="186" t="s">
        <v>7</v>
      </c>
      <c r="F32" s="186" t="s">
        <v>8</v>
      </c>
      <c r="G32" s="186" t="s">
        <v>9</v>
      </c>
      <c r="H32" s="187" t="s">
        <v>10</v>
      </c>
      <c r="I32" s="28"/>
      <c r="J32" s="28"/>
    </row>
    <row r="33" spans="2:9" x14ac:dyDescent="0.25">
      <c r="B33" s="24" t="s">
        <v>46</v>
      </c>
      <c r="C33" s="26" t="s">
        <v>47</v>
      </c>
      <c r="D33" s="48">
        <v>44460</v>
      </c>
      <c r="E33" s="49">
        <v>1329</v>
      </c>
      <c r="F33" s="289">
        <f>AVERAGE(E33:E43)</f>
        <v>1468.1872727272728</v>
      </c>
      <c r="G33" s="292">
        <f>STDEV(E33:E43)</f>
        <v>138.40064270738841</v>
      </c>
    </row>
    <row r="34" spans="2:9" x14ac:dyDescent="0.25">
      <c r="B34" s="24" t="s">
        <v>48</v>
      </c>
      <c r="C34" s="26" t="s">
        <v>49</v>
      </c>
      <c r="D34" s="48">
        <v>44460</v>
      </c>
      <c r="E34" s="50">
        <f>1398.95+25.84</f>
        <v>1424.79</v>
      </c>
      <c r="F34" s="289"/>
      <c r="G34" s="292"/>
    </row>
    <row r="35" spans="2:9" x14ac:dyDescent="0.25">
      <c r="B35" s="24" t="s">
        <v>50</v>
      </c>
      <c r="C35" s="26" t="s">
        <v>51</v>
      </c>
      <c r="D35" s="48">
        <v>44460</v>
      </c>
      <c r="E35" s="50">
        <f>1472.63+24.9</f>
        <v>1497.5300000000002</v>
      </c>
      <c r="F35" s="289"/>
      <c r="G35" s="292"/>
    </row>
    <row r="36" spans="2:9" x14ac:dyDescent="0.25">
      <c r="B36" s="24" t="s">
        <v>52</v>
      </c>
      <c r="C36" s="26" t="s">
        <v>53</v>
      </c>
      <c r="D36" s="48">
        <v>44460</v>
      </c>
      <c r="E36" s="50">
        <f>1367+38.84</f>
        <v>1405.84</v>
      </c>
      <c r="F36" s="289"/>
      <c r="G36" s="292"/>
    </row>
    <row r="37" spans="2:9" x14ac:dyDescent="0.25">
      <c r="B37" s="24" t="s">
        <v>54</v>
      </c>
      <c r="C37" s="26" t="s">
        <v>55</v>
      </c>
      <c r="D37" s="48">
        <v>44460</v>
      </c>
      <c r="E37" s="50">
        <f>1328+36.35</f>
        <v>1364.35</v>
      </c>
      <c r="F37" s="289"/>
      <c r="G37" s="292"/>
    </row>
    <row r="38" spans="2:9" x14ac:dyDescent="0.25">
      <c r="B38" s="24" t="s">
        <v>56</v>
      </c>
      <c r="C38" s="26" t="s">
        <v>57</v>
      </c>
      <c r="D38" s="48">
        <v>44460</v>
      </c>
      <c r="E38" s="50">
        <v>1420</v>
      </c>
      <c r="F38" s="289"/>
      <c r="G38" s="292"/>
      <c r="H38" s="51">
        <f>AVERAGE(E34:E42)</f>
        <v>1444.6733333333334</v>
      </c>
    </row>
    <row r="39" spans="2:9" x14ac:dyDescent="0.25">
      <c r="B39" s="24" t="s">
        <v>58</v>
      </c>
      <c r="C39" s="26" t="s">
        <v>59</v>
      </c>
      <c r="D39" s="48">
        <v>44460</v>
      </c>
      <c r="E39" s="50">
        <f>1462.31+29.35</f>
        <v>1491.6599999999999</v>
      </c>
      <c r="F39" s="289"/>
      <c r="G39" s="292"/>
    </row>
    <row r="40" spans="2:9" x14ac:dyDescent="0.25">
      <c r="B40" s="24" t="s">
        <v>60</v>
      </c>
      <c r="C40" s="26" t="s">
        <v>61</v>
      </c>
      <c r="D40" s="48">
        <v>44460</v>
      </c>
      <c r="E40" s="50">
        <f>1443+14.45</f>
        <v>1457.45</v>
      </c>
      <c r="F40" s="289"/>
      <c r="G40" s="292"/>
    </row>
    <row r="41" spans="2:9" x14ac:dyDescent="0.25">
      <c r="B41" s="24" t="s">
        <v>62</v>
      </c>
      <c r="C41" s="26" t="s">
        <v>63</v>
      </c>
      <c r="D41" s="48">
        <v>44460</v>
      </c>
      <c r="E41" s="50">
        <f>1299+51.44</f>
        <v>1350.44</v>
      </c>
      <c r="F41" s="289"/>
      <c r="G41" s="292"/>
    </row>
    <row r="42" spans="2:9" x14ac:dyDescent="0.25">
      <c r="B42" s="24" t="s">
        <v>64</v>
      </c>
      <c r="C42" s="26" t="s">
        <v>65</v>
      </c>
      <c r="D42" s="48">
        <v>44460</v>
      </c>
      <c r="E42" s="50">
        <v>1590</v>
      </c>
      <c r="F42" s="289"/>
      <c r="G42" s="292"/>
    </row>
    <row r="43" spans="2:9" ht="15.75" thickBot="1" x14ac:dyDescent="0.3">
      <c r="B43" s="45" t="s">
        <v>66</v>
      </c>
      <c r="C43" s="39" t="s">
        <v>67</v>
      </c>
      <c r="D43" s="52">
        <v>44460</v>
      </c>
      <c r="E43" s="53">
        <v>1819</v>
      </c>
      <c r="F43" s="290"/>
      <c r="G43" s="293"/>
      <c r="H43" s="45"/>
    </row>
    <row r="44" spans="2:9" ht="15.75" thickTop="1" x14ac:dyDescent="0.25">
      <c r="C44" s="26"/>
      <c r="D44" s="48"/>
      <c r="E44" s="30"/>
    </row>
    <row r="45" spans="2:9" x14ac:dyDescent="0.25">
      <c r="C45" s="26"/>
      <c r="D45" s="48"/>
      <c r="E45" s="30"/>
    </row>
    <row r="46" spans="2:9" ht="15.75" thickBot="1" x14ac:dyDescent="0.3"/>
    <row r="47" spans="2:9" ht="15.75" thickTop="1" x14ac:dyDescent="0.25">
      <c r="B47" s="297" t="s">
        <v>68</v>
      </c>
      <c r="C47" s="297"/>
      <c r="D47" s="297"/>
      <c r="E47" s="297"/>
      <c r="F47" s="297"/>
      <c r="G47" s="297"/>
      <c r="H47" s="297"/>
    </row>
    <row r="48" spans="2:9" ht="30" x14ac:dyDescent="0.25">
      <c r="B48" s="185" t="s">
        <v>5</v>
      </c>
      <c r="C48" s="185" t="s">
        <v>6</v>
      </c>
      <c r="D48" s="185" t="s">
        <v>45</v>
      </c>
      <c r="E48" s="185" t="s">
        <v>7</v>
      </c>
      <c r="F48" s="185" t="s">
        <v>8</v>
      </c>
      <c r="G48" s="186" t="s">
        <v>9</v>
      </c>
      <c r="H48" s="187" t="s">
        <v>10</v>
      </c>
      <c r="I48" s="28"/>
    </row>
    <row r="49" spans="2:10" x14ac:dyDescent="0.25">
      <c r="B49" s="24" t="s">
        <v>46</v>
      </c>
      <c r="C49" s="26" t="s">
        <v>47</v>
      </c>
      <c r="D49" s="48">
        <v>44460</v>
      </c>
      <c r="E49" s="49">
        <f>120+49.2</f>
        <v>169.2</v>
      </c>
      <c r="F49" s="289">
        <f>AVERAGE(E49:E56)</f>
        <v>200.8125</v>
      </c>
      <c r="G49" s="292">
        <f>STDEV(E49:E56)</f>
        <v>31.184853809868237</v>
      </c>
      <c r="H49" s="295">
        <f>AVERAGE(E50:E54)</f>
        <v>203.93600000000001</v>
      </c>
    </row>
    <row r="50" spans="2:10" x14ac:dyDescent="0.25">
      <c r="B50" s="24" t="s">
        <v>48</v>
      </c>
      <c r="C50" s="26" t="s">
        <v>69</v>
      </c>
      <c r="D50" s="48">
        <v>44460</v>
      </c>
      <c r="E50" s="50">
        <f>172+32.69</f>
        <v>204.69</v>
      </c>
      <c r="F50" s="289"/>
      <c r="G50" s="292"/>
      <c r="H50" s="295"/>
    </row>
    <row r="51" spans="2:10" x14ac:dyDescent="0.25">
      <c r="B51" s="24" t="s">
        <v>50</v>
      </c>
      <c r="C51" s="26" t="s">
        <v>51</v>
      </c>
      <c r="D51" s="48">
        <v>44460</v>
      </c>
      <c r="E51" s="50">
        <f>192+22.22</f>
        <v>214.22</v>
      </c>
      <c r="F51" s="289"/>
      <c r="G51" s="292"/>
      <c r="H51" s="295"/>
    </row>
    <row r="52" spans="2:10" x14ac:dyDescent="0.25">
      <c r="B52" s="24" t="s">
        <v>52</v>
      </c>
      <c r="C52" s="26" t="s">
        <v>53</v>
      </c>
      <c r="D52" s="48">
        <v>44460</v>
      </c>
      <c r="E52" s="50">
        <f>6*30+32.72</f>
        <v>212.72</v>
      </c>
      <c r="F52" s="289"/>
      <c r="G52" s="292"/>
      <c r="H52" s="295"/>
    </row>
    <row r="53" spans="2:10" x14ac:dyDescent="0.25">
      <c r="B53" s="24" t="s">
        <v>54</v>
      </c>
      <c r="C53" s="26" t="s">
        <v>55</v>
      </c>
      <c r="D53" s="48">
        <v>44460</v>
      </c>
      <c r="E53" s="50">
        <f>29*6+39.71</f>
        <v>213.71</v>
      </c>
      <c r="F53" s="289"/>
      <c r="G53" s="292"/>
      <c r="H53" s="295"/>
    </row>
    <row r="54" spans="2:10" x14ac:dyDescent="0.25">
      <c r="B54" s="24" t="s">
        <v>56</v>
      </c>
      <c r="C54" s="26" t="s">
        <v>57</v>
      </c>
      <c r="D54" s="48">
        <v>44460</v>
      </c>
      <c r="E54" s="33">
        <f>150+24.34</f>
        <v>174.34</v>
      </c>
      <c r="F54" s="289"/>
      <c r="G54" s="292"/>
      <c r="H54" s="295"/>
    </row>
    <row r="55" spans="2:10" x14ac:dyDescent="0.25">
      <c r="B55" s="24" t="s">
        <v>58</v>
      </c>
      <c r="C55" s="26" t="s">
        <v>59</v>
      </c>
      <c r="D55" s="48">
        <v>44460</v>
      </c>
      <c r="E55" s="36">
        <f>135.57+25.93</f>
        <v>161.5</v>
      </c>
      <c r="F55" s="289"/>
      <c r="G55" s="292"/>
      <c r="H55" s="295"/>
    </row>
    <row r="56" spans="2:10" ht="15.75" thickBot="1" x14ac:dyDescent="0.3">
      <c r="B56" s="45" t="s">
        <v>60</v>
      </c>
      <c r="C56" s="39" t="s">
        <v>61</v>
      </c>
      <c r="D56" s="52">
        <v>44460</v>
      </c>
      <c r="E56" s="54">
        <f>40*6+16.12</f>
        <v>256.12</v>
      </c>
      <c r="F56" s="290"/>
      <c r="G56" s="293"/>
      <c r="H56" s="296"/>
    </row>
    <row r="57" spans="2:10" ht="15.75" thickTop="1" x14ac:dyDescent="0.25"/>
    <row r="58" spans="2:10" ht="15.75" thickBot="1" x14ac:dyDescent="0.3"/>
    <row r="59" spans="2:10" ht="15.75" thickTop="1" x14ac:dyDescent="0.25">
      <c r="B59" s="297" t="s">
        <v>70</v>
      </c>
      <c r="C59" s="297"/>
      <c r="D59" s="297"/>
      <c r="E59" s="297"/>
      <c r="F59" s="297"/>
      <c r="G59" s="297"/>
      <c r="H59" s="297"/>
    </row>
    <row r="60" spans="2:10" ht="30" x14ac:dyDescent="0.25">
      <c r="B60" s="185" t="s">
        <v>5</v>
      </c>
      <c r="C60" s="185" t="s">
        <v>6</v>
      </c>
      <c r="D60" s="185" t="s">
        <v>45</v>
      </c>
      <c r="E60" s="185" t="s">
        <v>7</v>
      </c>
      <c r="F60" s="185" t="s">
        <v>8</v>
      </c>
      <c r="G60" s="186" t="s">
        <v>9</v>
      </c>
      <c r="H60" s="187" t="s">
        <v>10</v>
      </c>
    </row>
    <row r="61" spans="2:10" x14ac:dyDescent="0.25">
      <c r="B61" s="276" t="s">
        <v>71</v>
      </c>
      <c r="C61" s="277" t="s">
        <v>72</v>
      </c>
      <c r="D61" s="281">
        <v>44455</v>
      </c>
      <c r="E61" s="282">
        <v>56.8</v>
      </c>
      <c r="F61" s="288">
        <f>AVERAGE(E61:E66)</f>
        <v>99.381666666666661</v>
      </c>
      <c r="G61" s="291">
        <f>STDEV(E61:E66)</f>
        <v>48.968716714517541</v>
      </c>
      <c r="H61" s="294">
        <f>AVERAGE(E61,E62,E63,E66)</f>
        <v>69.072499999999991</v>
      </c>
      <c r="I61" s="28"/>
      <c r="J61" s="28"/>
    </row>
    <row r="62" spans="2:10" x14ac:dyDescent="0.25">
      <c r="B62" s="24" t="s">
        <v>73</v>
      </c>
      <c r="C62" s="26" t="s">
        <v>72</v>
      </c>
      <c r="D62" s="48">
        <v>44455</v>
      </c>
      <c r="E62" s="50">
        <v>53</v>
      </c>
      <c r="F62" s="289"/>
      <c r="G62" s="292"/>
      <c r="H62" s="295"/>
      <c r="I62" s="28"/>
      <c r="J62" s="28"/>
    </row>
    <row r="63" spans="2:10" x14ac:dyDescent="0.25">
      <c r="B63" s="24" t="s">
        <v>74</v>
      </c>
      <c r="C63" s="26" t="s">
        <v>75</v>
      </c>
      <c r="D63" s="48">
        <v>44463</v>
      </c>
      <c r="E63" s="50">
        <v>75.989999999999995</v>
      </c>
      <c r="F63" s="289"/>
      <c r="G63" s="292"/>
      <c r="H63" s="295"/>
      <c r="J63" s="28"/>
    </row>
    <row r="64" spans="2:10" x14ac:dyDescent="0.25">
      <c r="B64" s="24" t="s">
        <v>76</v>
      </c>
      <c r="C64" s="26" t="s">
        <v>77</v>
      </c>
      <c r="D64" s="48">
        <v>44455</v>
      </c>
      <c r="E64" s="49">
        <v>165</v>
      </c>
      <c r="F64" s="289"/>
      <c r="G64" s="292"/>
      <c r="H64" s="295"/>
    </row>
    <row r="65" spans="2:10" x14ac:dyDescent="0.25">
      <c r="B65" s="24" t="s">
        <v>78</v>
      </c>
      <c r="C65" s="26" t="s">
        <v>77</v>
      </c>
      <c r="D65" s="48">
        <v>44455</v>
      </c>
      <c r="E65" s="49">
        <v>155</v>
      </c>
      <c r="F65" s="289"/>
      <c r="G65" s="292"/>
      <c r="H65" s="295"/>
    </row>
    <row r="66" spans="2:10" ht="15.75" thickBot="1" x14ac:dyDescent="0.3">
      <c r="B66" s="45" t="s">
        <v>79</v>
      </c>
      <c r="C66" s="39" t="s">
        <v>80</v>
      </c>
      <c r="D66" s="52">
        <v>44463</v>
      </c>
      <c r="E66" s="63">
        <v>90.5</v>
      </c>
      <c r="F66" s="290"/>
      <c r="G66" s="293"/>
      <c r="H66" s="296"/>
    </row>
    <row r="67" spans="2:10" ht="15.75" thickTop="1" x14ac:dyDescent="0.25"/>
    <row r="68" spans="2:10" ht="15.75" thickBot="1" x14ac:dyDescent="0.3"/>
    <row r="69" spans="2:10" ht="15.75" thickTop="1" x14ac:dyDescent="0.25">
      <c r="B69" s="297" t="s">
        <v>81</v>
      </c>
      <c r="C69" s="297"/>
      <c r="D69" s="297"/>
      <c r="E69" s="297"/>
      <c r="F69" s="297"/>
      <c r="G69" s="297"/>
      <c r="H69" s="297"/>
    </row>
    <row r="70" spans="2:10" ht="30" x14ac:dyDescent="0.25">
      <c r="B70" s="185" t="s">
        <v>5</v>
      </c>
      <c r="C70" s="185" t="s">
        <v>6</v>
      </c>
      <c r="D70" s="185" t="s">
        <v>45</v>
      </c>
      <c r="E70" s="185" t="s">
        <v>7</v>
      </c>
      <c r="F70" s="185" t="s">
        <v>8</v>
      </c>
      <c r="G70" s="186" t="s">
        <v>9</v>
      </c>
      <c r="H70" s="187" t="s">
        <v>10</v>
      </c>
      <c r="J70" s="28"/>
    </row>
    <row r="71" spans="2:10" x14ac:dyDescent="0.25">
      <c r="B71" s="276" t="s">
        <v>73</v>
      </c>
      <c r="C71" s="277" t="s">
        <v>72</v>
      </c>
      <c r="D71" s="281">
        <v>44455</v>
      </c>
      <c r="E71" s="283">
        <v>48.4</v>
      </c>
      <c r="F71" s="288">
        <f>AVERAGE(E71:E77)</f>
        <v>88.308571428571426</v>
      </c>
      <c r="G71" s="291">
        <f>STDEV(E71:E77)</f>
        <v>26.466185613956203</v>
      </c>
      <c r="H71" s="294">
        <f>AVERAGE(E72:E75)</f>
        <v>82.467500000000001</v>
      </c>
      <c r="J71" s="28"/>
    </row>
    <row r="72" spans="2:10" x14ac:dyDescent="0.25">
      <c r="B72" s="24" t="s">
        <v>82</v>
      </c>
      <c r="C72" s="26" t="s">
        <v>83</v>
      </c>
      <c r="D72" s="48">
        <v>44463</v>
      </c>
      <c r="E72" s="50">
        <v>69.989999999999995</v>
      </c>
      <c r="F72" s="289"/>
      <c r="G72" s="292"/>
      <c r="H72" s="295"/>
      <c r="I72" s="28"/>
      <c r="J72" s="28"/>
    </row>
    <row r="73" spans="2:10" x14ac:dyDescent="0.25">
      <c r="B73" s="24" t="s">
        <v>84</v>
      </c>
      <c r="C73" s="26" t="s">
        <v>85</v>
      </c>
      <c r="D73" s="48">
        <v>44463</v>
      </c>
      <c r="E73" s="50">
        <v>99.9</v>
      </c>
      <c r="F73" s="289"/>
      <c r="G73" s="292"/>
      <c r="H73" s="295"/>
      <c r="I73" s="28"/>
    </row>
    <row r="74" spans="2:10" x14ac:dyDescent="0.25">
      <c r="B74" s="24" t="s">
        <v>86</v>
      </c>
      <c r="C74" s="26" t="s">
        <v>87</v>
      </c>
      <c r="D74" s="48">
        <v>44463</v>
      </c>
      <c r="E74" s="50">
        <v>79.989999999999995</v>
      </c>
      <c r="F74" s="289"/>
      <c r="G74" s="292"/>
      <c r="H74" s="295"/>
    </row>
    <row r="75" spans="2:10" x14ac:dyDescent="0.25">
      <c r="B75" s="24" t="s">
        <v>88</v>
      </c>
      <c r="C75" s="26" t="s">
        <v>89</v>
      </c>
      <c r="D75" s="48">
        <v>44463</v>
      </c>
      <c r="E75" s="50">
        <v>79.989999999999995</v>
      </c>
      <c r="F75" s="289"/>
      <c r="G75" s="292"/>
      <c r="H75" s="295"/>
    </row>
    <row r="76" spans="2:10" x14ac:dyDescent="0.25">
      <c r="B76" s="24" t="s">
        <v>90</v>
      </c>
      <c r="C76" s="26" t="s">
        <v>91</v>
      </c>
      <c r="D76" s="48">
        <v>44463</v>
      </c>
      <c r="E76" s="49">
        <v>119.99</v>
      </c>
      <c r="F76" s="289"/>
      <c r="G76" s="292"/>
      <c r="H76" s="295"/>
    </row>
    <row r="77" spans="2:10" ht="15.75" thickBot="1" x14ac:dyDescent="0.3">
      <c r="B77" s="45" t="s">
        <v>92</v>
      </c>
      <c r="C77" s="39" t="s">
        <v>93</v>
      </c>
      <c r="D77" s="52">
        <v>44463</v>
      </c>
      <c r="E77" s="53">
        <v>119.9</v>
      </c>
      <c r="F77" s="290"/>
      <c r="G77" s="293"/>
      <c r="H77" s="296"/>
    </row>
    <row r="78" spans="2:10" ht="15.75" thickTop="1" x14ac:dyDescent="0.25"/>
    <row r="79" spans="2:10" ht="15.75" thickBot="1" x14ac:dyDescent="0.3"/>
    <row r="80" spans="2:10" ht="15.75" thickTop="1" x14ac:dyDescent="0.25">
      <c r="B80" s="297" t="s">
        <v>94</v>
      </c>
      <c r="C80" s="297"/>
      <c r="D80" s="297"/>
      <c r="E80" s="297"/>
      <c r="F80" s="297"/>
      <c r="G80" s="297"/>
      <c r="H80" s="297"/>
    </row>
    <row r="81" spans="2:10" ht="30" x14ac:dyDescent="0.25">
      <c r="B81" s="185" t="s">
        <v>5</v>
      </c>
      <c r="C81" s="185" t="s">
        <v>6</v>
      </c>
      <c r="D81" s="185" t="s">
        <v>45</v>
      </c>
      <c r="E81" s="185" t="s">
        <v>7</v>
      </c>
      <c r="F81" s="185" t="s">
        <v>8</v>
      </c>
      <c r="G81" s="186" t="s">
        <v>9</v>
      </c>
      <c r="H81" s="187" t="s">
        <v>10</v>
      </c>
    </row>
    <row r="82" spans="2:10" x14ac:dyDescent="0.25">
      <c r="B82" s="276" t="s">
        <v>95</v>
      </c>
      <c r="C82" s="277" t="s">
        <v>96</v>
      </c>
      <c r="D82" s="281">
        <v>44463</v>
      </c>
      <c r="E82" s="282">
        <v>69.989999999999995</v>
      </c>
      <c r="F82" s="288">
        <f>AVERAGE(E82:E87)</f>
        <v>58.793333333333329</v>
      </c>
      <c r="G82" s="291">
        <f>STDEV(E82:E87)</f>
        <v>23.56617972151335</v>
      </c>
      <c r="H82" s="294">
        <f>AVERAGE(E82,E84,E85,E86,E87)</f>
        <v>50.572000000000003</v>
      </c>
    </row>
    <row r="83" spans="2:10" x14ac:dyDescent="0.25">
      <c r="B83" s="24" t="s">
        <v>97</v>
      </c>
      <c r="C83" s="26" t="s">
        <v>98</v>
      </c>
      <c r="D83" s="48">
        <v>44463</v>
      </c>
      <c r="E83" s="49">
        <v>99.9</v>
      </c>
      <c r="F83" s="289"/>
      <c r="G83" s="292"/>
      <c r="H83" s="295"/>
      <c r="I83" s="28"/>
    </row>
    <row r="84" spans="2:10" x14ac:dyDescent="0.25">
      <c r="B84" s="24" t="s">
        <v>99</v>
      </c>
      <c r="C84" s="26" t="s">
        <v>87</v>
      </c>
      <c r="D84" s="48">
        <v>44463</v>
      </c>
      <c r="E84" s="50">
        <v>59.99</v>
      </c>
      <c r="F84" s="289"/>
      <c r="G84" s="292"/>
      <c r="H84" s="295"/>
      <c r="I84" s="28"/>
    </row>
    <row r="85" spans="2:10" x14ac:dyDescent="0.25">
      <c r="B85" s="24" t="s">
        <v>100</v>
      </c>
      <c r="C85" s="26" t="s">
        <v>89</v>
      </c>
      <c r="D85" s="48">
        <v>44463</v>
      </c>
      <c r="E85" s="50">
        <v>42.99</v>
      </c>
      <c r="F85" s="289"/>
      <c r="G85" s="292"/>
      <c r="H85" s="295"/>
    </row>
    <row r="86" spans="2:10" x14ac:dyDescent="0.25">
      <c r="B86" s="24" t="s">
        <v>101</v>
      </c>
      <c r="C86" s="26" t="s">
        <v>91</v>
      </c>
      <c r="D86" s="48">
        <v>44463</v>
      </c>
      <c r="E86" s="50">
        <v>39.99</v>
      </c>
      <c r="F86" s="289"/>
      <c r="G86" s="292"/>
      <c r="H86" s="295"/>
    </row>
    <row r="87" spans="2:10" ht="15.75" thickBot="1" x14ac:dyDescent="0.3">
      <c r="B87" s="45" t="s">
        <v>102</v>
      </c>
      <c r="C87" s="39" t="s">
        <v>93</v>
      </c>
      <c r="D87" s="52">
        <v>44463</v>
      </c>
      <c r="E87" s="63">
        <v>39.9</v>
      </c>
      <c r="F87" s="290"/>
      <c r="G87" s="293"/>
      <c r="H87" s="296"/>
    </row>
    <row r="88" spans="2:10" ht="15.75" thickTop="1" x14ac:dyDescent="0.25"/>
    <row r="89" spans="2:10" ht="15.75" thickBot="1" x14ac:dyDescent="0.3"/>
    <row r="90" spans="2:10" ht="15.75" thickTop="1" x14ac:dyDescent="0.25">
      <c r="B90" s="297" t="s">
        <v>103</v>
      </c>
      <c r="C90" s="297"/>
      <c r="D90" s="297"/>
      <c r="E90" s="297"/>
      <c r="F90" s="297"/>
      <c r="G90" s="297"/>
      <c r="H90" s="297"/>
    </row>
    <row r="91" spans="2:10" ht="30" x14ac:dyDescent="0.25">
      <c r="B91" s="185" t="s">
        <v>5</v>
      </c>
      <c r="C91" s="185" t="s">
        <v>6</v>
      </c>
      <c r="D91" s="185" t="s">
        <v>45</v>
      </c>
      <c r="E91" s="185" t="s">
        <v>7</v>
      </c>
      <c r="F91" s="185" t="s">
        <v>8</v>
      </c>
      <c r="G91" s="186" t="s">
        <v>9</v>
      </c>
      <c r="H91" s="187" t="s">
        <v>10</v>
      </c>
    </row>
    <row r="92" spans="2:10" x14ac:dyDescent="0.25">
      <c r="B92" s="276" t="s">
        <v>104</v>
      </c>
      <c r="C92" s="277" t="s">
        <v>105</v>
      </c>
      <c r="D92" s="281">
        <v>44463</v>
      </c>
      <c r="E92" s="282">
        <v>169.9</v>
      </c>
      <c r="F92" s="288">
        <f>AVERAGE(E92:E97)</f>
        <v>125.42666666666666</v>
      </c>
      <c r="G92" s="291">
        <f>STDEV(E92:E97)</f>
        <v>61.579166498635466</v>
      </c>
      <c r="H92" s="294">
        <f>AVERAGE(E92,E93,E94,E96)</f>
        <v>120.66749999999999</v>
      </c>
      <c r="J92" s="28"/>
    </row>
    <row r="93" spans="2:10" x14ac:dyDescent="0.25">
      <c r="B93" s="24" t="s">
        <v>106</v>
      </c>
      <c r="C93" s="26" t="s">
        <v>107</v>
      </c>
      <c r="D93" s="48">
        <v>44463</v>
      </c>
      <c r="E93" s="50">
        <v>92.97</v>
      </c>
      <c r="F93" s="289"/>
      <c r="G93" s="292"/>
      <c r="H93" s="295"/>
      <c r="J93" s="28"/>
    </row>
    <row r="94" spans="2:10" x14ac:dyDescent="0.25">
      <c r="B94" s="24" t="s">
        <v>108</v>
      </c>
      <c r="C94" s="26" t="s">
        <v>109</v>
      </c>
      <c r="D94" s="48">
        <v>44463</v>
      </c>
      <c r="E94" s="50">
        <v>129.9</v>
      </c>
      <c r="F94" s="289"/>
      <c r="G94" s="292"/>
      <c r="H94" s="295"/>
    </row>
    <row r="95" spans="2:10" x14ac:dyDescent="0.25">
      <c r="B95" s="24" t="s">
        <v>110</v>
      </c>
      <c r="C95" s="26" t="s">
        <v>111</v>
      </c>
      <c r="D95" s="48">
        <v>44463</v>
      </c>
      <c r="E95" s="49">
        <v>219.99</v>
      </c>
      <c r="F95" s="289"/>
      <c r="G95" s="292"/>
      <c r="H95" s="295"/>
    </row>
    <row r="96" spans="2:10" x14ac:dyDescent="0.25">
      <c r="B96" s="24" t="s">
        <v>112</v>
      </c>
      <c r="C96" s="26" t="s">
        <v>113</v>
      </c>
      <c r="D96" s="48">
        <v>44463</v>
      </c>
      <c r="E96" s="50">
        <v>89.9</v>
      </c>
      <c r="F96" s="289"/>
      <c r="G96" s="292"/>
      <c r="H96" s="295"/>
    </row>
    <row r="97" spans="2:9" ht="15.75" thickBot="1" x14ac:dyDescent="0.3">
      <c r="B97" s="45" t="s">
        <v>92</v>
      </c>
      <c r="C97" s="39" t="s">
        <v>93</v>
      </c>
      <c r="D97" s="52">
        <v>44463</v>
      </c>
      <c r="E97" s="53">
        <v>49.9</v>
      </c>
      <c r="F97" s="290"/>
      <c r="G97" s="293"/>
      <c r="H97" s="296"/>
    </row>
    <row r="98" spans="2:9" ht="15.75" thickTop="1" x14ac:dyDescent="0.25"/>
    <row r="99" spans="2:9" ht="15.75" thickBot="1" x14ac:dyDescent="0.3"/>
    <row r="100" spans="2:9" ht="15.75" thickTop="1" x14ac:dyDescent="0.25">
      <c r="B100" s="302" t="s">
        <v>114</v>
      </c>
      <c r="C100" s="302"/>
      <c r="D100" s="302"/>
      <c r="E100" s="302"/>
      <c r="F100" s="302"/>
      <c r="G100" s="66"/>
      <c r="H100" s="66"/>
    </row>
    <row r="101" spans="2:9" x14ac:dyDescent="0.25">
      <c r="B101" s="185" t="s">
        <v>5</v>
      </c>
      <c r="C101" s="185" t="s">
        <v>6</v>
      </c>
      <c r="D101" s="185" t="s">
        <v>45</v>
      </c>
      <c r="E101" s="185" t="s">
        <v>7</v>
      </c>
      <c r="F101" s="185" t="s">
        <v>8</v>
      </c>
      <c r="G101" s="64"/>
      <c r="H101" s="65"/>
    </row>
    <row r="102" spans="2:9" x14ac:dyDescent="0.25">
      <c r="B102" s="24" t="s">
        <v>115</v>
      </c>
      <c r="C102" s="26" t="s">
        <v>111</v>
      </c>
      <c r="D102" s="48">
        <v>44463</v>
      </c>
      <c r="E102" s="282">
        <v>74.989999999999995</v>
      </c>
      <c r="F102" s="294">
        <f>AVERAGE(E102:E104)</f>
        <v>71.296666666666667</v>
      </c>
      <c r="G102" s="292"/>
      <c r="H102" s="295"/>
    </row>
    <row r="103" spans="2:9" x14ac:dyDescent="0.25">
      <c r="B103" s="24" t="s">
        <v>116</v>
      </c>
      <c r="C103" s="26" t="s">
        <v>117</v>
      </c>
      <c r="D103" s="48">
        <v>44463</v>
      </c>
      <c r="E103" s="50">
        <v>79.900000000000006</v>
      </c>
      <c r="F103" s="295"/>
      <c r="G103" s="292"/>
      <c r="H103" s="295"/>
    </row>
    <row r="104" spans="2:9" ht="15.75" thickBot="1" x14ac:dyDescent="0.3">
      <c r="B104" s="45" t="s">
        <v>118</v>
      </c>
      <c r="C104" s="39" t="s">
        <v>119</v>
      </c>
      <c r="D104" s="52">
        <v>44463</v>
      </c>
      <c r="E104" s="63">
        <v>59</v>
      </c>
      <c r="F104" s="296"/>
      <c r="G104" s="292"/>
      <c r="H104" s="295"/>
    </row>
    <row r="105" spans="2:9" ht="15.75" thickTop="1" x14ac:dyDescent="0.25"/>
    <row r="106" spans="2:9" ht="15.75" thickBot="1" x14ac:dyDescent="0.3"/>
    <row r="107" spans="2:9" ht="15.75" thickTop="1" x14ac:dyDescent="0.25">
      <c r="B107" s="297" t="s">
        <v>120</v>
      </c>
      <c r="C107" s="297"/>
      <c r="D107" s="297"/>
      <c r="E107" s="297"/>
      <c r="F107" s="297"/>
      <c r="G107" s="297"/>
      <c r="H107" s="297"/>
    </row>
    <row r="108" spans="2:9" ht="30" x14ac:dyDescent="0.25">
      <c r="B108" s="185" t="s">
        <v>5</v>
      </c>
      <c r="C108" s="185" t="s">
        <v>6</v>
      </c>
      <c r="D108" s="185" t="s">
        <v>45</v>
      </c>
      <c r="E108" s="185" t="s">
        <v>7</v>
      </c>
      <c r="F108" s="185" t="s">
        <v>8</v>
      </c>
      <c r="G108" s="186" t="s">
        <v>9</v>
      </c>
      <c r="H108" s="187" t="s">
        <v>10</v>
      </c>
      <c r="I108" s="28"/>
    </row>
    <row r="109" spans="2:9" x14ac:dyDescent="0.25">
      <c r="B109" s="276" t="s">
        <v>121</v>
      </c>
      <c r="C109" s="277" t="s">
        <v>122</v>
      </c>
      <c r="D109" s="281">
        <v>44467</v>
      </c>
      <c r="E109" s="283">
        <f>26.99/12</f>
        <v>2.2491666666666665</v>
      </c>
      <c r="F109" s="288">
        <f>AVERAGE(E109:E114)</f>
        <v>4.7095555555555553</v>
      </c>
      <c r="G109" s="291">
        <f>STDEV(E109:E114)</f>
        <v>2.0867551676297889</v>
      </c>
      <c r="H109" s="294">
        <f>AVERAGE(E110,E111,E112,E114)</f>
        <v>4.7422916666666666</v>
      </c>
      <c r="I109" s="28"/>
    </row>
    <row r="110" spans="2:9" x14ac:dyDescent="0.25">
      <c r="B110" s="24" t="s">
        <v>123</v>
      </c>
      <c r="C110" s="26" t="s">
        <v>124</v>
      </c>
      <c r="D110" s="48">
        <v>44467</v>
      </c>
      <c r="E110" s="50">
        <f>39.99/12</f>
        <v>3.3325</v>
      </c>
      <c r="F110" s="289"/>
      <c r="G110" s="292"/>
      <c r="H110" s="295"/>
    </row>
    <row r="111" spans="2:9" x14ac:dyDescent="0.25">
      <c r="B111" s="24" t="s">
        <v>100</v>
      </c>
      <c r="C111" s="26" t="s">
        <v>89</v>
      </c>
      <c r="D111" s="48">
        <v>44467</v>
      </c>
      <c r="E111" s="50">
        <f>19.99/3</f>
        <v>6.6633333333333331</v>
      </c>
      <c r="F111" s="289"/>
      <c r="G111" s="292"/>
      <c r="H111" s="295"/>
    </row>
    <row r="112" spans="2:9" x14ac:dyDescent="0.25">
      <c r="B112" s="24" t="s">
        <v>125</v>
      </c>
      <c r="C112" s="26" t="s">
        <v>93</v>
      </c>
      <c r="D112" s="48">
        <v>44467</v>
      </c>
      <c r="E112" s="50">
        <f>35.9/6</f>
        <v>5.9833333333333334</v>
      </c>
      <c r="F112" s="289"/>
      <c r="G112" s="292"/>
      <c r="H112" s="295"/>
    </row>
    <row r="113" spans="2:8" x14ac:dyDescent="0.25">
      <c r="B113" s="24" t="s">
        <v>126</v>
      </c>
      <c r="C113" s="26" t="s">
        <v>127</v>
      </c>
      <c r="D113" s="48">
        <v>44467</v>
      </c>
      <c r="E113" s="49">
        <f>70.39/10</f>
        <v>7.0389999999999997</v>
      </c>
      <c r="F113" s="289"/>
      <c r="G113" s="292"/>
      <c r="H113" s="295"/>
    </row>
    <row r="114" spans="2:8" ht="15.75" thickBot="1" x14ac:dyDescent="0.3">
      <c r="B114" s="45" t="s">
        <v>128</v>
      </c>
      <c r="C114" s="39" t="s">
        <v>129</v>
      </c>
      <c r="D114" s="52">
        <v>44467</v>
      </c>
      <c r="E114" s="63">
        <f>29.9/10</f>
        <v>2.9899999999999998</v>
      </c>
      <c r="F114" s="290"/>
      <c r="G114" s="293"/>
      <c r="H114" s="296"/>
    </row>
    <row r="115" spans="2:8" ht="15.75" thickTop="1" x14ac:dyDescent="0.25"/>
  </sheetData>
  <dataConsolidate/>
  <mergeCells count="40">
    <mergeCell ref="B107:H107"/>
    <mergeCell ref="F109:F114"/>
    <mergeCell ref="G109:G114"/>
    <mergeCell ref="H109:H114"/>
    <mergeCell ref="F92:F97"/>
    <mergeCell ref="G92:G97"/>
    <mergeCell ref="H92:H97"/>
    <mergeCell ref="F102:F104"/>
    <mergeCell ref="G102:G104"/>
    <mergeCell ref="H102:H104"/>
    <mergeCell ref="B100:F100"/>
    <mergeCell ref="B80:H80"/>
    <mergeCell ref="F82:F87"/>
    <mergeCell ref="G82:G87"/>
    <mergeCell ref="H82:H87"/>
    <mergeCell ref="B90:H90"/>
    <mergeCell ref="F49:F56"/>
    <mergeCell ref="G49:G56"/>
    <mergeCell ref="H49:H56"/>
    <mergeCell ref="B4:J4"/>
    <mergeCell ref="B19:H19"/>
    <mergeCell ref="F33:F43"/>
    <mergeCell ref="G33:G43"/>
    <mergeCell ref="B31:H31"/>
    <mergeCell ref="B47:H47"/>
    <mergeCell ref="J10:J15"/>
    <mergeCell ref="H21:H27"/>
    <mergeCell ref="I21:I27"/>
    <mergeCell ref="J21:J27"/>
    <mergeCell ref="B8:J8"/>
    <mergeCell ref="H10:H15"/>
    <mergeCell ref="I10:I15"/>
    <mergeCell ref="F71:F77"/>
    <mergeCell ref="G71:G77"/>
    <mergeCell ref="H71:H77"/>
    <mergeCell ref="B59:H59"/>
    <mergeCell ref="F61:F66"/>
    <mergeCell ref="G61:G66"/>
    <mergeCell ref="H61:H66"/>
    <mergeCell ref="B69:H69"/>
  </mergeCells>
  <hyperlinks>
    <hyperlink ref="B13" r:id="rId1" xr:uid="{4448B5D0-9D4E-4F19-82AD-0AA24108134F}"/>
    <hyperlink ref="B14" r:id="rId2" display="https://www.infojobs.com.br/salario/assistente-administrativo?il=64&amp;pn=1" xr:uid="{3B8779DF-C0C7-4E8A-96E1-30BB0EDE4596}"/>
    <hyperlink ref="B15" r:id="rId3" display="https://www.salario.com.br/profissao/assistente-administrativo-cbo-411010/sao-paulo-sp/" xr:uid="{C6B92069-CEA7-4F51-9D28-CDE4AE5339D0}"/>
  </hyperlinks>
  <pageMargins left="0.511811024" right="0.511811024" top="0.78740157499999996" bottom="0.78740157499999996" header="0.31496062000000002" footer="0.31496062000000002"/>
  <pageSetup paperSize="9" orientation="portrait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529A8-E213-43FC-857E-CB2CEFBAAAC8}">
  <sheetPr>
    <pageSetUpPr fitToPage="1"/>
  </sheetPr>
  <dimension ref="B1:I24"/>
  <sheetViews>
    <sheetView showGridLines="0" workbookViewId="0">
      <selection activeCell="D8" sqref="D8"/>
    </sheetView>
  </sheetViews>
  <sheetFormatPr defaultColWidth="8.85546875" defaultRowHeight="15" x14ac:dyDescent="0.25"/>
  <cols>
    <col min="1" max="1" width="2.5703125" customWidth="1"/>
    <col min="2" max="2" width="3.5703125" customWidth="1"/>
    <col min="3" max="3" width="43.5703125" bestFit="1" customWidth="1"/>
    <col min="4" max="4" width="10.5703125" bestFit="1" customWidth="1"/>
    <col min="7" max="7" width="6.140625" bestFit="1" customWidth="1"/>
    <col min="8" max="8" width="43.5703125" bestFit="1" customWidth="1"/>
  </cols>
  <sheetData>
    <row r="1" spans="2:9" ht="18.75" x14ac:dyDescent="0.3">
      <c r="B1" s="370" t="s">
        <v>977</v>
      </c>
      <c r="C1" s="370"/>
      <c r="D1" s="370"/>
      <c r="E1" s="370"/>
      <c r="F1" s="370"/>
      <c r="G1" s="370"/>
      <c r="H1" s="370"/>
      <c r="I1" s="370"/>
    </row>
    <row r="2" spans="2:9" ht="15.75" thickBot="1" x14ac:dyDescent="0.3"/>
    <row r="3" spans="2:9" ht="17.25" thickTop="1" thickBot="1" x14ac:dyDescent="0.3">
      <c r="B3" s="380" t="s">
        <v>456</v>
      </c>
      <c r="C3" s="380"/>
      <c r="D3" s="380"/>
      <c r="G3" s="378" t="s">
        <v>457</v>
      </c>
      <c r="H3" s="378"/>
      <c r="I3" s="378"/>
    </row>
    <row r="4" spans="2:9" x14ac:dyDescent="0.25">
      <c r="B4" s="372" t="s">
        <v>458</v>
      </c>
      <c r="C4" s="372"/>
      <c r="D4" s="91" t="s">
        <v>459</v>
      </c>
      <c r="G4" s="379" t="s">
        <v>458</v>
      </c>
      <c r="H4" s="379"/>
      <c r="I4" s="102" t="s">
        <v>459</v>
      </c>
    </row>
    <row r="5" spans="2:9" x14ac:dyDescent="0.25">
      <c r="B5" s="285" t="s">
        <v>143</v>
      </c>
      <c r="C5" s="285" t="s">
        <v>460</v>
      </c>
      <c r="D5" s="286" t="s">
        <v>170</v>
      </c>
      <c r="G5" s="66" t="s">
        <v>143</v>
      </c>
      <c r="H5" s="66" t="s">
        <v>460</v>
      </c>
      <c r="I5" s="91" t="s">
        <v>170</v>
      </c>
    </row>
    <row r="6" spans="2:9" x14ac:dyDescent="0.25">
      <c r="B6" s="92" t="s">
        <v>461</v>
      </c>
      <c r="C6" s="92" t="s">
        <v>462</v>
      </c>
      <c r="D6" s="93">
        <v>0.04</v>
      </c>
      <c r="G6" s="92" t="s">
        <v>461</v>
      </c>
      <c r="H6" s="92" t="s">
        <v>462</v>
      </c>
      <c r="I6" s="93">
        <v>3.4500000000000003E-2</v>
      </c>
    </row>
    <row r="7" spans="2:9" x14ac:dyDescent="0.25">
      <c r="B7" s="92" t="s">
        <v>463</v>
      </c>
      <c r="C7" s="92" t="s">
        <v>464</v>
      </c>
      <c r="D7" s="93">
        <v>8.0000000000000002E-3</v>
      </c>
      <c r="G7" s="92" t="s">
        <v>463</v>
      </c>
      <c r="H7" s="92" t="s">
        <v>464</v>
      </c>
      <c r="I7" s="93">
        <v>4.7999999999999996E-3</v>
      </c>
    </row>
    <row r="8" spans="2:9" x14ac:dyDescent="0.25">
      <c r="B8" s="92" t="s">
        <v>465</v>
      </c>
      <c r="C8" s="92" t="s">
        <v>466</v>
      </c>
      <c r="D8" s="93">
        <v>1.2699999999999999E-2</v>
      </c>
      <c r="G8" s="92" t="s">
        <v>465</v>
      </c>
      <c r="H8" s="92" t="s">
        <v>466</v>
      </c>
      <c r="I8" s="93">
        <v>8.5000000000000006E-3</v>
      </c>
    </row>
    <row r="9" spans="2:9" x14ac:dyDescent="0.25">
      <c r="B9" s="375" t="s">
        <v>467</v>
      </c>
      <c r="C9" s="375"/>
      <c r="D9" s="96">
        <f>SUM(D6:D8)</f>
        <v>6.0700000000000004E-2</v>
      </c>
      <c r="G9" s="372" t="s">
        <v>467</v>
      </c>
      <c r="H9" s="372"/>
      <c r="I9" s="94">
        <f>SUM(I6:I8)</f>
        <v>4.7800000000000002E-2</v>
      </c>
    </row>
    <row r="10" spans="2:9" x14ac:dyDescent="0.25">
      <c r="B10" s="66" t="s">
        <v>145</v>
      </c>
      <c r="C10" s="66" t="s">
        <v>468</v>
      </c>
      <c r="D10" s="91" t="s">
        <v>170</v>
      </c>
      <c r="G10" s="285" t="s">
        <v>145</v>
      </c>
      <c r="H10" s="285" t="s">
        <v>468</v>
      </c>
      <c r="I10" s="286" t="s">
        <v>170</v>
      </c>
    </row>
    <row r="11" spans="2:9" x14ac:dyDescent="0.25">
      <c r="B11" s="92" t="s">
        <v>469</v>
      </c>
      <c r="C11" s="92" t="s">
        <v>293</v>
      </c>
      <c r="D11" s="93">
        <v>7.3999999999999996E-2</v>
      </c>
      <c r="G11" s="92" t="s">
        <v>469</v>
      </c>
      <c r="H11" s="92" t="s">
        <v>293</v>
      </c>
      <c r="I11" s="93">
        <v>5.11E-2</v>
      </c>
    </row>
    <row r="12" spans="2:9" x14ac:dyDescent="0.25">
      <c r="B12" s="372" t="s">
        <v>470</v>
      </c>
      <c r="C12" s="372"/>
      <c r="D12" s="94">
        <f>D11</f>
        <v>7.3999999999999996E-2</v>
      </c>
      <c r="G12" s="375" t="s">
        <v>470</v>
      </c>
      <c r="H12" s="375"/>
      <c r="I12" s="96">
        <f>I11</f>
        <v>5.11E-2</v>
      </c>
    </row>
    <row r="13" spans="2:9" x14ac:dyDescent="0.25">
      <c r="B13" s="285" t="s">
        <v>148</v>
      </c>
      <c r="C13" s="285" t="s">
        <v>471</v>
      </c>
      <c r="D13" s="286" t="s">
        <v>170</v>
      </c>
      <c r="G13" s="66" t="s">
        <v>148</v>
      </c>
      <c r="H13" s="66" t="s">
        <v>471</v>
      </c>
      <c r="I13" s="91" t="s">
        <v>170</v>
      </c>
    </row>
    <row r="14" spans="2:9" x14ac:dyDescent="0.25">
      <c r="B14" s="92" t="s">
        <v>296</v>
      </c>
      <c r="C14" s="92" t="s">
        <v>472</v>
      </c>
      <c r="D14" s="93">
        <v>6.4999999999999997E-3</v>
      </c>
      <c r="G14" s="92" t="s">
        <v>296</v>
      </c>
      <c r="H14" s="92" t="s">
        <v>472</v>
      </c>
      <c r="I14" s="93">
        <v>6.4999999999999997E-3</v>
      </c>
    </row>
    <row r="15" spans="2:9" x14ac:dyDescent="0.25">
      <c r="B15" s="92" t="s">
        <v>299</v>
      </c>
      <c r="C15" s="92" t="s">
        <v>473</v>
      </c>
      <c r="D15" s="93">
        <v>0.03</v>
      </c>
      <c r="G15" s="92" t="s">
        <v>299</v>
      </c>
      <c r="H15" s="92" t="s">
        <v>473</v>
      </c>
      <c r="I15" s="93">
        <v>0.03</v>
      </c>
    </row>
    <row r="16" spans="2:9" x14ac:dyDescent="0.25">
      <c r="B16" s="92" t="s">
        <v>302</v>
      </c>
      <c r="C16" s="97" t="s">
        <v>474</v>
      </c>
      <c r="D16" s="93">
        <v>0.05</v>
      </c>
      <c r="G16" s="92" t="s">
        <v>302</v>
      </c>
      <c r="H16" s="97" t="s">
        <v>474</v>
      </c>
      <c r="I16" s="93">
        <v>2.5000000000000001E-2</v>
      </c>
    </row>
    <row r="17" spans="2:9" ht="14.25" customHeight="1" x14ac:dyDescent="0.25">
      <c r="B17" s="92" t="s">
        <v>475</v>
      </c>
      <c r="C17" s="97" t="s">
        <v>476</v>
      </c>
      <c r="D17" s="93">
        <v>0</v>
      </c>
      <c r="G17" s="92" t="s">
        <v>475</v>
      </c>
      <c r="H17" s="97" t="s">
        <v>476</v>
      </c>
      <c r="I17" s="93">
        <v>0</v>
      </c>
    </row>
    <row r="18" spans="2:9" x14ac:dyDescent="0.25">
      <c r="B18" s="375" t="s">
        <v>477</v>
      </c>
      <c r="C18" s="375"/>
      <c r="D18" s="96">
        <f>SUM(D14:D17)</f>
        <v>8.6499999999999994E-2</v>
      </c>
      <c r="G18" s="372" t="s">
        <v>477</v>
      </c>
      <c r="H18" s="372"/>
      <c r="I18" s="94">
        <f>SUM(I14:I17)</f>
        <v>6.1499999999999999E-2</v>
      </c>
    </row>
    <row r="19" spans="2:9" x14ac:dyDescent="0.25">
      <c r="B19" s="66" t="s">
        <v>151</v>
      </c>
      <c r="C19" s="66" t="s">
        <v>478</v>
      </c>
      <c r="D19" s="95" t="s">
        <v>170</v>
      </c>
      <c r="G19" s="285" t="s">
        <v>151</v>
      </c>
      <c r="H19" s="285" t="s">
        <v>478</v>
      </c>
      <c r="I19" s="287" t="s">
        <v>170</v>
      </c>
    </row>
    <row r="20" spans="2:9" x14ac:dyDescent="0.25">
      <c r="B20" s="92"/>
      <c r="C20" s="92" t="s">
        <v>479</v>
      </c>
      <c r="D20" s="93">
        <v>1.23E-2</v>
      </c>
      <c r="G20" s="92"/>
      <c r="H20" s="92" t="s">
        <v>479</v>
      </c>
      <c r="I20" s="93">
        <v>8.5000000000000006E-3</v>
      </c>
    </row>
    <row r="21" spans="2:9" ht="15.75" thickBot="1" x14ac:dyDescent="0.3">
      <c r="B21" s="372" t="s">
        <v>480</v>
      </c>
      <c r="C21" s="372"/>
      <c r="D21" s="94">
        <f>D20</f>
        <v>1.23E-2</v>
      </c>
      <c r="G21" s="373" t="s">
        <v>480</v>
      </c>
      <c r="H21" s="373"/>
      <c r="I21" s="103">
        <f>I20</f>
        <v>8.5000000000000006E-3</v>
      </c>
    </row>
    <row r="22" spans="2:9" ht="15.75" thickBot="1" x14ac:dyDescent="0.3">
      <c r="B22" s="376" t="s">
        <v>481</v>
      </c>
      <c r="C22" s="376"/>
      <c r="D22" s="100">
        <f>((1+(D6+D7+D8))*(1+D21)*(1+D12))/(1-D18)-1</f>
        <v>0.26240159730706081</v>
      </c>
      <c r="G22" s="374" t="s">
        <v>481</v>
      </c>
      <c r="H22" s="374"/>
      <c r="I22" s="101">
        <f>((1+(I6+I7+I8))*(1+I21)*(1+I12))/(1-I18)-1</f>
        <v>0.18348853695258383</v>
      </c>
    </row>
    <row r="23" spans="2:9" ht="53.25" customHeight="1" thickTop="1" x14ac:dyDescent="0.25">
      <c r="B23" s="377" t="s">
        <v>482</v>
      </c>
      <c r="C23" s="377"/>
      <c r="D23" s="377"/>
      <c r="G23" s="371" t="s">
        <v>483</v>
      </c>
      <c r="H23" s="371"/>
      <c r="I23" s="371"/>
    </row>
    <row r="24" spans="2:9" x14ac:dyDescent="0.25">
      <c r="G24" s="369"/>
      <c r="H24" s="369"/>
      <c r="I24" s="369"/>
    </row>
  </sheetData>
  <mergeCells count="18">
    <mergeCell ref="B3:D3"/>
    <mergeCell ref="B4:C4"/>
    <mergeCell ref="G24:I24"/>
    <mergeCell ref="B1:I1"/>
    <mergeCell ref="G23:I23"/>
    <mergeCell ref="G18:H18"/>
    <mergeCell ref="G21:H21"/>
    <mergeCell ref="G22:H22"/>
    <mergeCell ref="G12:H12"/>
    <mergeCell ref="B21:C21"/>
    <mergeCell ref="B22:C22"/>
    <mergeCell ref="B23:D23"/>
    <mergeCell ref="G3:I3"/>
    <mergeCell ref="G4:H4"/>
    <mergeCell ref="G9:H9"/>
    <mergeCell ref="B18:C18"/>
    <mergeCell ref="B9:C9"/>
    <mergeCell ref="B12:C12"/>
  </mergeCells>
  <pageMargins left="0.51181102362204722" right="0.51181102362204722" top="0.78740157480314965" bottom="0.78740157480314965" header="0.31496062992125984" footer="0.31496062992125984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1FB7C-AD20-4057-A5E9-2E58ADCB7A34}">
  <sheetPr>
    <pageSetUpPr fitToPage="1"/>
  </sheetPr>
  <dimension ref="A1:M215"/>
  <sheetViews>
    <sheetView showGridLines="0" topLeftCell="A45" zoomScaleNormal="100" workbookViewId="0">
      <selection activeCell="D55" sqref="D55"/>
    </sheetView>
  </sheetViews>
  <sheetFormatPr defaultColWidth="9.140625" defaultRowHeight="11.25" x14ac:dyDescent="0.2"/>
  <cols>
    <col min="1" max="1" width="11.5703125" style="127" customWidth="1"/>
    <col min="2" max="2" width="95" style="108" customWidth="1"/>
    <col min="3" max="3" width="9.140625" style="108"/>
    <col min="4" max="4" width="8.42578125" style="108" customWidth="1"/>
    <col min="5" max="5" width="11" style="125" bestFit="1" customWidth="1"/>
    <col min="6" max="6" width="14.5703125" style="108" customWidth="1"/>
    <col min="7" max="7" width="10.5703125" style="126" customWidth="1"/>
    <col min="8" max="8" width="20.5703125" style="108" customWidth="1"/>
    <col min="9" max="9" width="34" style="108" customWidth="1"/>
    <col min="10" max="10" width="17.42578125" style="108" bestFit="1" customWidth="1"/>
    <col min="11" max="13" width="13.42578125" style="108" bestFit="1" customWidth="1"/>
    <col min="14" max="16384" width="9.140625" style="108"/>
  </cols>
  <sheetData>
    <row r="1" spans="1:13" ht="24.75" customHeight="1" thickBot="1" x14ac:dyDescent="0.25">
      <c r="A1" s="392" t="s">
        <v>981</v>
      </c>
      <c r="B1" s="393"/>
      <c r="C1" s="393"/>
      <c r="D1" s="393"/>
      <c r="E1" s="394"/>
      <c r="F1" s="394"/>
      <c r="G1" s="393"/>
      <c r="H1" s="395"/>
      <c r="J1" s="109"/>
      <c r="K1" s="109"/>
    </row>
    <row r="2" spans="1:13" x14ac:dyDescent="0.2">
      <c r="A2" s="110" t="s">
        <v>130</v>
      </c>
      <c r="B2" s="111" t="s">
        <v>131</v>
      </c>
      <c r="C2" s="111" t="s">
        <v>484</v>
      </c>
      <c r="D2" s="111" t="s">
        <v>485</v>
      </c>
      <c r="E2" s="112" t="s">
        <v>486</v>
      </c>
      <c r="F2" s="111" t="s">
        <v>487</v>
      </c>
      <c r="G2" s="111" t="s">
        <v>488</v>
      </c>
      <c r="H2" s="113" t="s">
        <v>489</v>
      </c>
      <c r="J2" s="114"/>
      <c r="K2" s="114"/>
      <c r="L2" s="114"/>
      <c r="M2" s="114"/>
    </row>
    <row r="3" spans="1:13" x14ac:dyDescent="0.2">
      <c r="A3" s="227" t="s">
        <v>490</v>
      </c>
      <c r="B3" s="228" t="s">
        <v>491</v>
      </c>
      <c r="C3" s="228"/>
      <c r="D3" s="228"/>
      <c r="E3" s="229"/>
      <c r="F3" s="228"/>
      <c r="G3" s="228"/>
      <c r="H3" s="230"/>
      <c r="J3" s="114"/>
      <c r="K3" s="114"/>
      <c r="L3" s="114"/>
      <c r="M3" s="114"/>
    </row>
    <row r="4" spans="1:13" x14ac:dyDescent="0.2">
      <c r="A4" s="231" t="s">
        <v>492</v>
      </c>
      <c r="B4" s="232" t="s">
        <v>493</v>
      </c>
      <c r="C4" s="162" t="s">
        <v>494</v>
      </c>
      <c r="D4" s="233">
        <v>1</v>
      </c>
      <c r="E4" s="234">
        <v>49.59</v>
      </c>
      <c r="F4" s="235">
        <f t="shared" ref="F4:F50" si="0">D4*E4</f>
        <v>49.59</v>
      </c>
      <c r="G4" s="162">
        <v>4791</v>
      </c>
      <c r="H4" s="257" t="s">
        <v>495</v>
      </c>
    </row>
    <row r="5" spans="1:13" x14ac:dyDescent="0.2">
      <c r="A5" s="231" t="s">
        <v>496</v>
      </c>
      <c r="B5" s="232" t="s">
        <v>497</v>
      </c>
      <c r="C5" s="162" t="s">
        <v>498</v>
      </c>
      <c r="D5" s="233">
        <v>2</v>
      </c>
      <c r="E5" s="234">
        <v>289.04000000000002</v>
      </c>
      <c r="F5" s="235">
        <f t="shared" si="0"/>
        <v>578.08000000000004</v>
      </c>
      <c r="G5" s="162" t="s">
        <v>24</v>
      </c>
      <c r="H5" s="257" t="s">
        <v>499</v>
      </c>
    </row>
    <row r="6" spans="1:13" x14ac:dyDescent="0.2">
      <c r="A6" s="231" t="s">
        <v>500</v>
      </c>
      <c r="B6" s="232" t="s">
        <v>501</v>
      </c>
      <c r="C6" s="162" t="s">
        <v>498</v>
      </c>
      <c r="D6" s="233">
        <v>2</v>
      </c>
      <c r="E6" s="234">
        <v>20.2</v>
      </c>
      <c r="F6" s="235">
        <f t="shared" si="0"/>
        <v>40.4</v>
      </c>
      <c r="G6" s="162" t="s">
        <v>24</v>
      </c>
      <c r="H6" s="257" t="s">
        <v>499</v>
      </c>
    </row>
    <row r="7" spans="1:13" x14ac:dyDescent="0.2">
      <c r="A7" s="231" t="s">
        <v>502</v>
      </c>
      <c r="B7" s="232" t="s">
        <v>503</v>
      </c>
      <c r="C7" s="162" t="s">
        <v>498</v>
      </c>
      <c r="D7" s="233">
        <v>10</v>
      </c>
      <c r="E7" s="234">
        <v>0.49</v>
      </c>
      <c r="F7" s="235">
        <f t="shared" si="0"/>
        <v>4.9000000000000004</v>
      </c>
      <c r="G7" s="162">
        <v>7568</v>
      </c>
      <c r="H7" s="257" t="s">
        <v>495</v>
      </c>
    </row>
    <row r="8" spans="1:13" x14ac:dyDescent="0.2">
      <c r="A8" s="231" t="s">
        <v>504</v>
      </c>
      <c r="B8" s="232" t="s">
        <v>505</v>
      </c>
      <c r="C8" s="162" t="s">
        <v>498</v>
      </c>
      <c r="D8" s="233">
        <v>10</v>
      </c>
      <c r="E8" s="234">
        <v>0.74</v>
      </c>
      <c r="F8" s="235">
        <f t="shared" si="0"/>
        <v>7.4</v>
      </c>
      <c r="G8" s="162">
        <v>7584</v>
      </c>
      <c r="H8" s="257" t="s">
        <v>495</v>
      </c>
    </row>
    <row r="9" spans="1:13" x14ac:dyDescent="0.2">
      <c r="A9" s="231" t="s">
        <v>506</v>
      </c>
      <c r="B9" s="232" t="s">
        <v>507</v>
      </c>
      <c r="C9" s="162" t="s">
        <v>498</v>
      </c>
      <c r="D9" s="233">
        <v>10</v>
      </c>
      <c r="E9" s="234">
        <v>0.16</v>
      </c>
      <c r="F9" s="235">
        <f t="shared" si="0"/>
        <v>1.6</v>
      </c>
      <c r="G9" s="162">
        <v>11950</v>
      </c>
      <c r="H9" s="257" t="s">
        <v>495</v>
      </c>
    </row>
    <row r="10" spans="1:13" x14ac:dyDescent="0.2">
      <c r="A10" s="231" t="s">
        <v>508</v>
      </c>
      <c r="B10" s="232" t="s">
        <v>509</v>
      </c>
      <c r="C10" s="162" t="s">
        <v>498</v>
      </c>
      <c r="D10" s="233">
        <v>10</v>
      </c>
      <c r="E10" s="234">
        <v>0.33</v>
      </c>
      <c r="F10" s="235">
        <f t="shared" si="0"/>
        <v>3.3000000000000003</v>
      </c>
      <c r="G10" s="162">
        <v>7583</v>
      </c>
      <c r="H10" s="257" t="s">
        <v>495</v>
      </c>
    </row>
    <row r="11" spans="1:13" x14ac:dyDescent="0.2">
      <c r="A11" s="231" t="s">
        <v>510</v>
      </c>
      <c r="B11" s="232" t="s">
        <v>511</v>
      </c>
      <c r="C11" s="162" t="s">
        <v>512</v>
      </c>
      <c r="D11" s="233">
        <v>200</v>
      </c>
      <c r="E11" s="234">
        <v>3.42</v>
      </c>
      <c r="F11" s="235">
        <f t="shared" si="0"/>
        <v>684</v>
      </c>
      <c r="G11" s="162" t="s">
        <v>24</v>
      </c>
      <c r="H11" s="257" t="s">
        <v>499</v>
      </c>
    </row>
    <row r="12" spans="1:13" x14ac:dyDescent="0.2">
      <c r="A12" s="231" t="s">
        <v>513</v>
      </c>
      <c r="B12" s="232" t="s">
        <v>514</v>
      </c>
      <c r="C12" s="162" t="s">
        <v>498</v>
      </c>
      <c r="D12" s="233">
        <v>2</v>
      </c>
      <c r="E12" s="234">
        <v>84.2</v>
      </c>
      <c r="F12" s="235">
        <f t="shared" si="0"/>
        <v>168.4</v>
      </c>
      <c r="G12" s="162" t="s">
        <v>24</v>
      </c>
      <c r="H12" s="257" t="s">
        <v>499</v>
      </c>
    </row>
    <row r="13" spans="1:13" x14ac:dyDescent="0.2">
      <c r="A13" s="231" t="s">
        <v>515</v>
      </c>
      <c r="B13" s="232" t="s">
        <v>516</v>
      </c>
      <c r="C13" s="162" t="s">
        <v>498</v>
      </c>
      <c r="D13" s="233">
        <v>2</v>
      </c>
      <c r="E13" s="234">
        <v>45.9</v>
      </c>
      <c r="F13" s="235">
        <f t="shared" si="0"/>
        <v>91.8</v>
      </c>
      <c r="G13" s="162" t="s">
        <v>24</v>
      </c>
      <c r="H13" s="257" t="s">
        <v>499</v>
      </c>
    </row>
    <row r="14" spans="1:13" x14ac:dyDescent="0.2">
      <c r="A14" s="231" t="s">
        <v>517</v>
      </c>
      <c r="B14" s="232" t="s">
        <v>518</v>
      </c>
      <c r="C14" s="162" t="s">
        <v>498</v>
      </c>
      <c r="D14" s="233">
        <v>2</v>
      </c>
      <c r="E14" s="234">
        <v>81.77</v>
      </c>
      <c r="F14" s="235">
        <f t="shared" si="0"/>
        <v>163.54</v>
      </c>
      <c r="G14" s="162" t="s">
        <v>24</v>
      </c>
      <c r="H14" s="257" t="s">
        <v>499</v>
      </c>
    </row>
    <row r="15" spans="1:13" x14ac:dyDescent="0.2">
      <c r="A15" s="231" t="s">
        <v>519</v>
      </c>
      <c r="B15" s="232" t="s">
        <v>520</v>
      </c>
      <c r="C15" s="162" t="s">
        <v>498</v>
      </c>
      <c r="D15" s="233">
        <v>2</v>
      </c>
      <c r="E15" s="234">
        <v>173.9</v>
      </c>
      <c r="F15" s="235">
        <f t="shared" si="0"/>
        <v>347.8</v>
      </c>
      <c r="G15" s="162" t="s">
        <v>24</v>
      </c>
      <c r="H15" s="257" t="s">
        <v>499</v>
      </c>
    </row>
    <row r="16" spans="1:13" x14ac:dyDescent="0.2">
      <c r="A16" s="231" t="s">
        <v>521</v>
      </c>
      <c r="B16" s="232" t="s">
        <v>522</v>
      </c>
      <c r="C16" s="162" t="s">
        <v>498</v>
      </c>
      <c r="D16" s="233">
        <v>2</v>
      </c>
      <c r="E16" s="234">
        <v>27.65</v>
      </c>
      <c r="F16" s="235">
        <f t="shared" si="0"/>
        <v>55.3</v>
      </c>
      <c r="G16" s="162" t="s">
        <v>24</v>
      </c>
      <c r="H16" s="257" t="s">
        <v>499</v>
      </c>
    </row>
    <row r="17" spans="1:9" ht="22.5" x14ac:dyDescent="0.2">
      <c r="A17" s="231" t="s">
        <v>523</v>
      </c>
      <c r="B17" s="232" t="s">
        <v>524</v>
      </c>
      <c r="C17" s="162" t="s">
        <v>498</v>
      </c>
      <c r="D17" s="233">
        <v>2</v>
      </c>
      <c r="E17" s="234">
        <v>18</v>
      </c>
      <c r="F17" s="235">
        <f t="shared" si="0"/>
        <v>36</v>
      </c>
      <c r="G17" s="162">
        <v>5090</v>
      </c>
      <c r="H17" s="173" t="s">
        <v>495</v>
      </c>
    </row>
    <row r="18" spans="1:9" x14ac:dyDescent="0.2">
      <c r="A18" s="231" t="s">
        <v>525</v>
      </c>
      <c r="B18" s="232" t="s">
        <v>526</v>
      </c>
      <c r="C18" s="162" t="s">
        <v>498</v>
      </c>
      <c r="D18" s="233">
        <v>4</v>
      </c>
      <c r="E18" s="234">
        <v>11.85</v>
      </c>
      <c r="F18" s="235">
        <f t="shared" si="0"/>
        <v>47.4</v>
      </c>
      <c r="G18" s="162" t="s">
        <v>24</v>
      </c>
      <c r="H18" s="257" t="s">
        <v>499</v>
      </c>
    </row>
    <row r="19" spans="1:9" x14ac:dyDescent="0.2">
      <c r="A19" s="231" t="s">
        <v>527</v>
      </c>
      <c r="B19" s="232" t="s">
        <v>528</v>
      </c>
      <c r="C19" s="162" t="s">
        <v>498</v>
      </c>
      <c r="D19" s="233">
        <v>1</v>
      </c>
      <c r="E19" s="234">
        <v>449.57</v>
      </c>
      <c r="F19" s="235">
        <f t="shared" si="0"/>
        <v>449.57</v>
      </c>
      <c r="G19" s="162" t="s">
        <v>24</v>
      </c>
      <c r="H19" s="257" t="s">
        <v>499</v>
      </c>
    </row>
    <row r="20" spans="1:9" x14ac:dyDescent="0.2">
      <c r="A20" s="231" t="s">
        <v>529</v>
      </c>
      <c r="B20" s="232" t="s">
        <v>530</v>
      </c>
      <c r="C20" s="162" t="s">
        <v>531</v>
      </c>
      <c r="D20" s="233">
        <v>2</v>
      </c>
      <c r="E20" s="234">
        <v>1060.26</v>
      </c>
      <c r="F20" s="235">
        <f t="shared" si="0"/>
        <v>2120.52</v>
      </c>
      <c r="G20" s="162" t="s">
        <v>24</v>
      </c>
      <c r="H20" s="257" t="s">
        <v>499</v>
      </c>
    </row>
    <row r="21" spans="1:9" x14ac:dyDescent="0.2">
      <c r="A21" s="231" t="s">
        <v>532</v>
      </c>
      <c r="B21" s="232" t="s">
        <v>533</v>
      </c>
      <c r="C21" s="162" t="s">
        <v>498</v>
      </c>
      <c r="D21" s="233">
        <v>1</v>
      </c>
      <c r="E21" s="234">
        <v>164.35</v>
      </c>
      <c r="F21" s="235">
        <f t="shared" si="0"/>
        <v>164.35</v>
      </c>
      <c r="G21" s="162" t="s">
        <v>24</v>
      </c>
      <c r="H21" s="257" t="s">
        <v>499</v>
      </c>
    </row>
    <row r="22" spans="1:9" x14ac:dyDescent="0.2">
      <c r="A22" s="231" t="s">
        <v>534</v>
      </c>
      <c r="B22" s="232" t="s">
        <v>535</v>
      </c>
      <c r="C22" s="162" t="s">
        <v>498</v>
      </c>
      <c r="D22" s="233">
        <v>4</v>
      </c>
      <c r="E22" s="234">
        <v>35.81</v>
      </c>
      <c r="F22" s="235">
        <f t="shared" si="0"/>
        <v>143.24</v>
      </c>
      <c r="G22" s="162">
        <v>39601</v>
      </c>
      <c r="H22" s="173" t="s">
        <v>495</v>
      </c>
      <c r="I22" s="180"/>
    </row>
    <row r="23" spans="1:9" x14ac:dyDescent="0.2">
      <c r="A23" s="231" t="s">
        <v>536</v>
      </c>
      <c r="B23" s="232" t="s">
        <v>537</v>
      </c>
      <c r="C23" s="162" t="s">
        <v>498</v>
      </c>
      <c r="D23" s="233">
        <v>20</v>
      </c>
      <c r="E23" s="234">
        <v>3.81</v>
      </c>
      <c r="F23" s="235">
        <f t="shared" si="0"/>
        <v>76.2</v>
      </c>
      <c r="G23" s="162">
        <v>39603</v>
      </c>
      <c r="H23" s="173" t="s">
        <v>495</v>
      </c>
    </row>
    <row r="24" spans="1:9" x14ac:dyDescent="0.2">
      <c r="A24" s="231" t="s">
        <v>538</v>
      </c>
      <c r="B24" s="232" t="s">
        <v>539</v>
      </c>
      <c r="C24" s="162" t="s">
        <v>498</v>
      </c>
      <c r="D24" s="233">
        <v>16</v>
      </c>
      <c r="E24" s="234">
        <v>33.49</v>
      </c>
      <c r="F24" s="235">
        <f t="shared" si="0"/>
        <v>535.84</v>
      </c>
      <c r="G24" s="162" t="s">
        <v>24</v>
      </c>
      <c r="H24" s="257" t="s">
        <v>499</v>
      </c>
    </row>
    <row r="25" spans="1:9" x14ac:dyDescent="0.2">
      <c r="A25" s="231" t="s">
        <v>540</v>
      </c>
      <c r="B25" s="232" t="s">
        <v>541</v>
      </c>
      <c r="C25" s="162" t="s">
        <v>498</v>
      </c>
      <c r="D25" s="233">
        <v>4</v>
      </c>
      <c r="E25" s="234">
        <v>20.77</v>
      </c>
      <c r="F25" s="235">
        <f t="shared" si="0"/>
        <v>83.08</v>
      </c>
      <c r="G25" s="162" t="s">
        <v>24</v>
      </c>
      <c r="H25" s="257" t="s">
        <v>499</v>
      </c>
    </row>
    <row r="26" spans="1:9" x14ac:dyDescent="0.2">
      <c r="A26" s="231" t="s">
        <v>542</v>
      </c>
      <c r="B26" s="232" t="s">
        <v>543</v>
      </c>
      <c r="C26" s="162" t="s">
        <v>498</v>
      </c>
      <c r="D26" s="233">
        <v>4</v>
      </c>
      <c r="E26" s="234">
        <v>30.93</v>
      </c>
      <c r="F26" s="235">
        <f t="shared" si="0"/>
        <v>123.72</v>
      </c>
      <c r="G26" s="162" t="s">
        <v>24</v>
      </c>
      <c r="H26" s="257" t="s">
        <v>499</v>
      </c>
    </row>
    <row r="27" spans="1:9" x14ac:dyDescent="0.2">
      <c r="A27" s="231" t="s">
        <v>544</v>
      </c>
      <c r="B27" s="232" t="s">
        <v>545</v>
      </c>
      <c r="C27" s="162" t="s">
        <v>498</v>
      </c>
      <c r="D27" s="233">
        <v>4</v>
      </c>
      <c r="E27" s="234">
        <v>21.11</v>
      </c>
      <c r="F27" s="235">
        <f t="shared" si="0"/>
        <v>84.44</v>
      </c>
      <c r="G27" s="162" t="s">
        <v>24</v>
      </c>
      <c r="H27" s="257" t="s">
        <v>499</v>
      </c>
    </row>
    <row r="28" spans="1:9" x14ac:dyDescent="0.2">
      <c r="A28" s="231" t="s">
        <v>546</v>
      </c>
      <c r="B28" s="232" t="s">
        <v>547</v>
      </c>
      <c r="C28" s="162" t="s">
        <v>548</v>
      </c>
      <c r="D28" s="233">
        <v>10</v>
      </c>
      <c r="E28" s="234">
        <v>21.59</v>
      </c>
      <c r="F28" s="235">
        <f t="shared" si="0"/>
        <v>215.9</v>
      </c>
      <c r="G28" s="162">
        <v>20111</v>
      </c>
      <c r="H28" s="173" t="s">
        <v>495</v>
      </c>
    </row>
    <row r="29" spans="1:9" x14ac:dyDescent="0.2">
      <c r="A29" s="231" t="s">
        <v>549</v>
      </c>
      <c r="B29" s="232" t="s">
        <v>550</v>
      </c>
      <c r="C29" s="162" t="s">
        <v>494</v>
      </c>
      <c r="D29" s="233">
        <v>2</v>
      </c>
      <c r="E29" s="234">
        <v>0.78</v>
      </c>
      <c r="F29" s="235">
        <f t="shared" si="0"/>
        <v>1.56</v>
      </c>
      <c r="G29" s="162">
        <v>3315</v>
      </c>
      <c r="H29" s="173" t="s">
        <v>495</v>
      </c>
    </row>
    <row r="30" spans="1:9" x14ac:dyDescent="0.2">
      <c r="A30" s="231" t="s">
        <v>551</v>
      </c>
      <c r="B30" s="232" t="s">
        <v>552</v>
      </c>
      <c r="C30" s="162" t="s">
        <v>494</v>
      </c>
      <c r="D30" s="233">
        <v>1</v>
      </c>
      <c r="E30" s="234">
        <v>44.02</v>
      </c>
      <c r="F30" s="235">
        <f t="shared" si="0"/>
        <v>44.02</v>
      </c>
      <c r="G30" s="162">
        <v>4229</v>
      </c>
      <c r="H30" s="173" t="s">
        <v>495</v>
      </c>
    </row>
    <row r="31" spans="1:9" x14ac:dyDescent="0.2">
      <c r="A31" s="231" t="s">
        <v>553</v>
      </c>
      <c r="B31" s="232" t="s">
        <v>554</v>
      </c>
      <c r="C31" s="162" t="s">
        <v>498</v>
      </c>
      <c r="D31" s="233">
        <v>10</v>
      </c>
      <c r="E31" s="234">
        <v>3.68</v>
      </c>
      <c r="F31" s="235">
        <f t="shared" si="0"/>
        <v>36.800000000000004</v>
      </c>
      <c r="G31" s="162">
        <v>3768</v>
      </c>
      <c r="H31" s="173" t="s">
        <v>495</v>
      </c>
    </row>
    <row r="32" spans="1:9" x14ac:dyDescent="0.2">
      <c r="A32" s="231" t="s">
        <v>555</v>
      </c>
      <c r="B32" s="232" t="s">
        <v>556</v>
      </c>
      <c r="C32" s="162" t="s">
        <v>498</v>
      </c>
      <c r="D32" s="233">
        <v>20</v>
      </c>
      <c r="E32" s="234">
        <v>1.23</v>
      </c>
      <c r="F32" s="235">
        <f t="shared" si="0"/>
        <v>24.6</v>
      </c>
      <c r="G32" s="162">
        <v>3767</v>
      </c>
      <c r="H32" s="173" t="s">
        <v>495</v>
      </c>
    </row>
    <row r="33" spans="1:8" x14ac:dyDescent="0.2">
      <c r="A33" s="231" t="s">
        <v>557</v>
      </c>
      <c r="B33" s="232" t="s">
        <v>558</v>
      </c>
      <c r="C33" s="162" t="s">
        <v>494</v>
      </c>
      <c r="D33" s="233">
        <v>2</v>
      </c>
      <c r="E33" s="234">
        <v>134.22</v>
      </c>
      <c r="F33" s="235">
        <f t="shared" si="0"/>
        <v>268.44</v>
      </c>
      <c r="G33" s="162">
        <v>38120</v>
      </c>
      <c r="H33" s="173" t="s">
        <v>495</v>
      </c>
    </row>
    <row r="34" spans="1:8" x14ac:dyDescent="0.2">
      <c r="A34" s="231" t="s">
        <v>559</v>
      </c>
      <c r="B34" s="232" t="s">
        <v>560</v>
      </c>
      <c r="C34" s="162" t="s">
        <v>494</v>
      </c>
      <c r="D34" s="233">
        <v>1</v>
      </c>
      <c r="E34" s="234">
        <v>38.31</v>
      </c>
      <c r="F34" s="235">
        <f t="shared" si="0"/>
        <v>38.31</v>
      </c>
      <c r="G34" s="162">
        <v>4823</v>
      </c>
      <c r="H34" s="173" t="s">
        <v>495</v>
      </c>
    </row>
    <row r="35" spans="1:8" x14ac:dyDescent="0.2">
      <c r="A35" s="231" t="s">
        <v>561</v>
      </c>
      <c r="B35" s="232" t="s">
        <v>562</v>
      </c>
      <c r="C35" s="162" t="s">
        <v>498</v>
      </c>
      <c r="D35" s="233">
        <v>10</v>
      </c>
      <c r="E35" s="234">
        <v>0.19</v>
      </c>
      <c r="F35" s="235">
        <f t="shared" si="0"/>
        <v>1.9</v>
      </c>
      <c r="G35" s="162">
        <v>4377</v>
      </c>
      <c r="H35" s="173" t="s">
        <v>495</v>
      </c>
    </row>
    <row r="36" spans="1:8" x14ac:dyDescent="0.2">
      <c r="A36" s="231" t="s">
        <v>563</v>
      </c>
      <c r="B36" s="232" t="s">
        <v>564</v>
      </c>
      <c r="C36" s="162" t="s">
        <v>565</v>
      </c>
      <c r="D36" s="233">
        <v>18</v>
      </c>
      <c r="E36" s="234">
        <v>0.19</v>
      </c>
      <c r="F36" s="235">
        <f t="shared" si="0"/>
        <v>3.42</v>
      </c>
      <c r="G36" s="162">
        <v>39442</v>
      </c>
      <c r="H36" s="173" t="s">
        <v>495</v>
      </c>
    </row>
    <row r="37" spans="1:8" x14ac:dyDescent="0.2">
      <c r="A37" s="231" t="s">
        <v>566</v>
      </c>
      <c r="B37" s="232" t="s">
        <v>567</v>
      </c>
      <c r="C37" s="162" t="s">
        <v>565</v>
      </c>
      <c r="D37" s="233">
        <v>4</v>
      </c>
      <c r="E37" s="234">
        <v>0.08</v>
      </c>
      <c r="F37" s="235">
        <f t="shared" si="0"/>
        <v>0.32</v>
      </c>
      <c r="G37" s="162">
        <v>11055</v>
      </c>
      <c r="H37" s="173" t="s">
        <v>495</v>
      </c>
    </row>
    <row r="38" spans="1:8" x14ac:dyDescent="0.2">
      <c r="A38" s="231" t="s">
        <v>568</v>
      </c>
      <c r="B38" s="232" t="s">
        <v>569</v>
      </c>
      <c r="C38" s="162" t="s">
        <v>565</v>
      </c>
      <c r="D38" s="233">
        <v>2</v>
      </c>
      <c r="E38" s="234">
        <v>0.19</v>
      </c>
      <c r="F38" s="235">
        <f t="shared" si="0"/>
        <v>0.38</v>
      </c>
      <c r="G38" s="162">
        <v>11057</v>
      </c>
      <c r="H38" s="173" t="s">
        <v>495</v>
      </c>
    </row>
    <row r="39" spans="1:8" x14ac:dyDescent="0.2">
      <c r="A39" s="231" t="s">
        <v>570</v>
      </c>
      <c r="B39" s="232" t="s">
        <v>571</v>
      </c>
      <c r="C39" s="162" t="s">
        <v>565</v>
      </c>
      <c r="D39" s="233">
        <v>20</v>
      </c>
      <c r="E39" s="234">
        <v>0.37</v>
      </c>
      <c r="F39" s="235">
        <f t="shared" si="0"/>
        <v>7.4</v>
      </c>
      <c r="G39" s="162">
        <v>11059</v>
      </c>
      <c r="H39" s="173" t="s">
        <v>495</v>
      </c>
    </row>
    <row r="40" spans="1:8" x14ac:dyDescent="0.2">
      <c r="A40" s="231" t="s">
        <v>572</v>
      </c>
      <c r="B40" s="232" t="s">
        <v>573</v>
      </c>
      <c r="C40" s="162" t="s">
        <v>565</v>
      </c>
      <c r="D40" s="233">
        <v>25</v>
      </c>
      <c r="E40" s="234">
        <v>0.23</v>
      </c>
      <c r="F40" s="235">
        <f t="shared" si="0"/>
        <v>5.75</v>
      </c>
      <c r="G40" s="162">
        <v>11962</v>
      </c>
      <c r="H40" s="173" t="s">
        <v>495</v>
      </c>
    </row>
    <row r="41" spans="1:8" x14ac:dyDescent="0.2">
      <c r="A41" s="231" t="s">
        <v>574</v>
      </c>
      <c r="B41" s="232" t="s">
        <v>575</v>
      </c>
      <c r="C41" s="162" t="s">
        <v>498</v>
      </c>
      <c r="D41" s="233">
        <v>10</v>
      </c>
      <c r="E41" s="234">
        <v>27.14</v>
      </c>
      <c r="F41" s="235">
        <f t="shared" si="0"/>
        <v>271.39999999999998</v>
      </c>
      <c r="G41" s="162">
        <v>39606</v>
      </c>
      <c r="H41" s="173" t="s">
        <v>495</v>
      </c>
    </row>
    <row r="42" spans="1:8" x14ac:dyDescent="0.2">
      <c r="A42" s="231" t="s">
        <v>576</v>
      </c>
      <c r="B42" s="232" t="s">
        <v>577</v>
      </c>
      <c r="C42" s="162" t="s">
        <v>498</v>
      </c>
      <c r="D42" s="233">
        <v>10</v>
      </c>
      <c r="E42" s="234">
        <v>36.72</v>
      </c>
      <c r="F42" s="235">
        <f t="shared" si="0"/>
        <v>367.2</v>
      </c>
      <c r="G42" s="162">
        <v>39607</v>
      </c>
      <c r="H42" s="173" t="s">
        <v>495</v>
      </c>
    </row>
    <row r="43" spans="1:8" x14ac:dyDescent="0.2">
      <c r="A43" s="231" t="s">
        <v>578</v>
      </c>
      <c r="B43" s="232" t="s">
        <v>579</v>
      </c>
      <c r="C43" s="162" t="s">
        <v>498</v>
      </c>
      <c r="D43" s="233">
        <v>6</v>
      </c>
      <c r="E43" s="234">
        <v>16.13</v>
      </c>
      <c r="F43" s="235">
        <f t="shared" si="0"/>
        <v>96.78</v>
      </c>
      <c r="G43" s="162" t="s">
        <v>24</v>
      </c>
      <c r="H43" s="257" t="s">
        <v>499</v>
      </c>
    </row>
    <row r="44" spans="1:8" x14ac:dyDescent="0.2">
      <c r="A44" s="231" t="s">
        <v>580</v>
      </c>
      <c r="B44" s="232" t="s">
        <v>581</v>
      </c>
      <c r="C44" s="162" t="s">
        <v>582</v>
      </c>
      <c r="D44" s="233">
        <v>4</v>
      </c>
      <c r="E44" s="234">
        <v>10.88</v>
      </c>
      <c r="F44" s="235">
        <f t="shared" si="0"/>
        <v>43.52</v>
      </c>
      <c r="G44" s="162">
        <v>4812</v>
      </c>
      <c r="H44" s="173" t="s">
        <v>495</v>
      </c>
    </row>
    <row r="45" spans="1:8" x14ac:dyDescent="0.2">
      <c r="A45" s="231" t="s">
        <v>583</v>
      </c>
      <c r="B45" s="232" t="s">
        <v>584</v>
      </c>
      <c r="C45" s="162" t="s">
        <v>498</v>
      </c>
      <c r="D45" s="233">
        <v>1</v>
      </c>
      <c r="E45" s="234">
        <v>34.619999999999997</v>
      </c>
      <c r="F45" s="235">
        <f t="shared" si="0"/>
        <v>34.619999999999997</v>
      </c>
      <c r="G45" s="162">
        <v>142</v>
      </c>
      <c r="H45" s="173" t="s">
        <v>495</v>
      </c>
    </row>
    <row r="46" spans="1:8" x14ac:dyDescent="0.2">
      <c r="A46" s="231" t="s">
        <v>585</v>
      </c>
      <c r="B46" s="232" t="s">
        <v>586</v>
      </c>
      <c r="C46" s="162" t="s">
        <v>498</v>
      </c>
      <c r="D46" s="233">
        <v>4</v>
      </c>
      <c r="E46" s="234">
        <v>22.88</v>
      </c>
      <c r="F46" s="235">
        <f t="shared" si="0"/>
        <v>91.52</v>
      </c>
      <c r="G46" s="162">
        <v>39961</v>
      </c>
      <c r="H46" s="173" t="s">
        <v>495</v>
      </c>
    </row>
    <row r="47" spans="1:8" x14ac:dyDescent="0.2">
      <c r="A47" s="231" t="s">
        <v>587</v>
      </c>
      <c r="B47" s="232" t="s">
        <v>588</v>
      </c>
      <c r="C47" s="162" t="s">
        <v>498</v>
      </c>
      <c r="D47" s="233">
        <v>2</v>
      </c>
      <c r="E47" s="234">
        <v>19.29</v>
      </c>
      <c r="F47" s="235">
        <f t="shared" si="0"/>
        <v>38.58</v>
      </c>
      <c r="G47" s="162" t="s">
        <v>24</v>
      </c>
      <c r="H47" s="257" t="s">
        <v>499</v>
      </c>
    </row>
    <row r="48" spans="1:8" x14ac:dyDescent="0.2">
      <c r="A48" s="231" t="s">
        <v>589</v>
      </c>
      <c r="B48" s="232" t="s">
        <v>590</v>
      </c>
      <c r="C48" s="162" t="s">
        <v>498</v>
      </c>
      <c r="D48" s="233">
        <v>6</v>
      </c>
      <c r="E48" s="234">
        <v>11.08</v>
      </c>
      <c r="F48" s="235">
        <f t="shared" si="0"/>
        <v>66.48</v>
      </c>
      <c r="G48" s="162" t="s">
        <v>24</v>
      </c>
      <c r="H48" s="257" t="s">
        <v>499</v>
      </c>
    </row>
    <row r="49" spans="1:8" x14ac:dyDescent="0.2">
      <c r="A49" s="231" t="s">
        <v>591</v>
      </c>
      <c r="B49" s="232" t="s">
        <v>592</v>
      </c>
      <c r="C49" s="162" t="s">
        <v>498</v>
      </c>
      <c r="D49" s="233">
        <v>4</v>
      </c>
      <c r="E49" s="234">
        <v>23.69</v>
      </c>
      <c r="F49" s="235">
        <f t="shared" si="0"/>
        <v>94.76</v>
      </c>
      <c r="G49" s="162" t="s">
        <v>24</v>
      </c>
      <c r="H49" s="257" t="s">
        <v>499</v>
      </c>
    </row>
    <row r="50" spans="1:8" x14ac:dyDescent="0.2">
      <c r="A50" s="231" t="s">
        <v>593</v>
      </c>
      <c r="B50" s="232" t="s">
        <v>594</v>
      </c>
      <c r="C50" s="162" t="s">
        <v>498</v>
      </c>
      <c r="D50" s="233">
        <v>2</v>
      </c>
      <c r="E50" s="234">
        <v>160.97999999999999</v>
      </c>
      <c r="F50" s="235">
        <f t="shared" si="0"/>
        <v>321.95999999999998</v>
      </c>
      <c r="G50" s="162" t="s">
        <v>24</v>
      </c>
      <c r="H50" s="257" t="s">
        <v>499</v>
      </c>
    </row>
    <row r="52" spans="1:8" x14ac:dyDescent="0.2">
      <c r="A52" s="396" t="s">
        <v>595</v>
      </c>
      <c r="B52" s="397"/>
      <c r="C52" s="397"/>
      <c r="D52" s="397"/>
      <c r="E52" s="398"/>
      <c r="F52" s="236">
        <f>SUM(F4:F50)</f>
        <v>8136.09</v>
      </c>
      <c r="G52" s="267"/>
      <c r="H52" s="268"/>
    </row>
    <row r="53" spans="1:8" x14ac:dyDescent="0.2">
      <c r="A53" s="227" t="s">
        <v>596</v>
      </c>
      <c r="B53" s="228" t="s">
        <v>597</v>
      </c>
      <c r="C53" s="228"/>
      <c r="D53" s="228"/>
      <c r="E53" s="270"/>
      <c r="F53" s="228"/>
      <c r="G53" s="228"/>
      <c r="H53" s="228"/>
    </row>
    <row r="54" spans="1:8" x14ac:dyDescent="0.2">
      <c r="A54" s="231" t="s">
        <v>229</v>
      </c>
      <c r="B54" s="232" t="s">
        <v>598</v>
      </c>
      <c r="C54" s="162" t="s">
        <v>498</v>
      </c>
      <c r="D54" s="233">
        <v>58</v>
      </c>
      <c r="E54" s="234">
        <v>0.06</v>
      </c>
      <c r="F54" s="264">
        <f t="shared" ref="F54:F85" si="1">D54*E54</f>
        <v>3.48</v>
      </c>
      <c r="G54" s="265">
        <v>414</v>
      </c>
      <c r="H54" s="266" t="s">
        <v>599</v>
      </c>
    </row>
    <row r="55" spans="1:8" x14ac:dyDescent="0.2">
      <c r="A55" s="231" t="s">
        <v>231</v>
      </c>
      <c r="B55" s="232" t="s">
        <v>600</v>
      </c>
      <c r="C55" s="162" t="s">
        <v>498</v>
      </c>
      <c r="D55" s="233">
        <v>40</v>
      </c>
      <c r="E55" s="234">
        <v>2.02</v>
      </c>
      <c r="F55" s="235">
        <f t="shared" si="1"/>
        <v>80.8</v>
      </c>
      <c r="G55" s="162">
        <v>393</v>
      </c>
      <c r="H55" s="257" t="s">
        <v>599</v>
      </c>
    </row>
    <row r="56" spans="1:8" x14ac:dyDescent="0.2">
      <c r="A56" s="231" t="s">
        <v>233</v>
      </c>
      <c r="B56" s="232" t="s">
        <v>601</v>
      </c>
      <c r="C56" s="162" t="s">
        <v>498</v>
      </c>
      <c r="D56" s="233">
        <v>40</v>
      </c>
      <c r="E56" s="234">
        <v>1.69</v>
      </c>
      <c r="F56" s="235">
        <f t="shared" si="1"/>
        <v>67.599999999999994</v>
      </c>
      <c r="G56" s="162">
        <v>392</v>
      </c>
      <c r="H56" s="257" t="s">
        <v>599</v>
      </c>
    </row>
    <row r="57" spans="1:8" x14ac:dyDescent="0.2">
      <c r="A57" s="231" t="s">
        <v>602</v>
      </c>
      <c r="B57" s="232" t="s">
        <v>603</v>
      </c>
      <c r="C57" s="162" t="s">
        <v>498</v>
      </c>
      <c r="D57" s="233">
        <v>10</v>
      </c>
      <c r="E57" s="234">
        <v>9.66</v>
      </c>
      <c r="F57" s="235">
        <f t="shared" si="1"/>
        <v>96.6</v>
      </c>
      <c r="G57" s="162" t="s">
        <v>24</v>
      </c>
      <c r="H57" s="257" t="s">
        <v>604</v>
      </c>
    </row>
    <row r="58" spans="1:8" x14ac:dyDescent="0.2">
      <c r="A58" s="231" t="s">
        <v>605</v>
      </c>
      <c r="B58" s="232" t="s">
        <v>606</v>
      </c>
      <c r="C58" s="162" t="s">
        <v>512</v>
      </c>
      <c r="D58" s="233">
        <v>240</v>
      </c>
      <c r="E58" s="234">
        <v>1.33</v>
      </c>
      <c r="F58" s="235">
        <f t="shared" si="1"/>
        <v>319.20000000000005</v>
      </c>
      <c r="G58" s="162">
        <v>1013</v>
      </c>
      <c r="H58" s="257" t="s">
        <v>599</v>
      </c>
    </row>
    <row r="59" spans="1:8" x14ac:dyDescent="0.2">
      <c r="A59" s="231" t="s">
        <v>607</v>
      </c>
      <c r="B59" s="232" t="s">
        <v>608</v>
      </c>
      <c r="C59" s="162" t="s">
        <v>512</v>
      </c>
      <c r="D59" s="233">
        <v>20</v>
      </c>
      <c r="E59" s="234">
        <v>9.61</v>
      </c>
      <c r="F59" s="235">
        <f t="shared" si="1"/>
        <v>192.2</v>
      </c>
      <c r="G59" s="162">
        <v>980</v>
      </c>
      <c r="H59" s="257" t="s">
        <v>599</v>
      </c>
    </row>
    <row r="60" spans="1:8" x14ac:dyDescent="0.2">
      <c r="A60" s="231" t="s">
        <v>609</v>
      </c>
      <c r="B60" s="232" t="s">
        <v>610</v>
      </c>
      <c r="C60" s="162" t="s">
        <v>512</v>
      </c>
      <c r="D60" s="233">
        <v>250</v>
      </c>
      <c r="E60" s="234">
        <v>2.11</v>
      </c>
      <c r="F60" s="235">
        <f t="shared" si="1"/>
        <v>527.5</v>
      </c>
      <c r="G60" s="162">
        <v>1014</v>
      </c>
      <c r="H60" s="257" t="s">
        <v>599</v>
      </c>
    </row>
    <row r="61" spans="1:8" x14ac:dyDescent="0.2">
      <c r="A61" s="231" t="s">
        <v>611</v>
      </c>
      <c r="B61" s="232" t="s">
        <v>612</v>
      </c>
      <c r="C61" s="162" t="s">
        <v>512</v>
      </c>
      <c r="D61" s="233">
        <v>250</v>
      </c>
      <c r="E61" s="234">
        <v>3.5</v>
      </c>
      <c r="F61" s="235">
        <f t="shared" si="1"/>
        <v>875</v>
      </c>
      <c r="G61" s="162">
        <v>981</v>
      </c>
      <c r="H61" s="257" t="s">
        <v>599</v>
      </c>
    </row>
    <row r="62" spans="1:8" x14ac:dyDescent="0.2">
      <c r="A62" s="231" t="s">
        <v>613</v>
      </c>
      <c r="B62" s="232" t="s">
        <v>614</v>
      </c>
      <c r="C62" s="162" t="s">
        <v>512</v>
      </c>
      <c r="D62" s="233">
        <v>50</v>
      </c>
      <c r="E62" s="234">
        <v>5.03</v>
      </c>
      <c r="F62" s="235">
        <f t="shared" si="1"/>
        <v>251.5</v>
      </c>
      <c r="G62" s="162">
        <v>982</v>
      </c>
      <c r="H62" s="257" t="s">
        <v>599</v>
      </c>
    </row>
    <row r="63" spans="1:8" ht="22.5" x14ac:dyDescent="0.2">
      <c r="A63" s="231" t="s">
        <v>615</v>
      </c>
      <c r="B63" s="232" t="s">
        <v>616</v>
      </c>
      <c r="C63" s="162" t="s">
        <v>617</v>
      </c>
      <c r="D63" s="233">
        <v>50</v>
      </c>
      <c r="E63" s="234">
        <v>12.34</v>
      </c>
      <c r="F63" s="235">
        <f t="shared" si="1"/>
        <v>617</v>
      </c>
      <c r="G63" s="162">
        <v>39259</v>
      </c>
      <c r="H63" s="257" t="s">
        <v>599</v>
      </c>
    </row>
    <row r="64" spans="1:8" x14ac:dyDescent="0.2">
      <c r="A64" s="231" t="s">
        <v>618</v>
      </c>
      <c r="B64" s="232" t="s">
        <v>619</v>
      </c>
      <c r="C64" s="162" t="s">
        <v>498</v>
      </c>
      <c r="D64" s="233">
        <v>50</v>
      </c>
      <c r="E64" s="234">
        <v>10.52</v>
      </c>
      <c r="F64" s="235">
        <f t="shared" si="1"/>
        <v>526</v>
      </c>
      <c r="G64" s="162" t="s">
        <v>24</v>
      </c>
      <c r="H64" s="257" t="s">
        <v>604</v>
      </c>
    </row>
    <row r="65" spans="1:8" x14ac:dyDescent="0.2">
      <c r="A65" s="231" t="s">
        <v>620</v>
      </c>
      <c r="B65" s="232" t="s">
        <v>621</v>
      </c>
      <c r="C65" s="162" t="s">
        <v>498</v>
      </c>
      <c r="D65" s="233">
        <v>6</v>
      </c>
      <c r="E65" s="234">
        <v>51.41</v>
      </c>
      <c r="F65" s="235">
        <f t="shared" si="1"/>
        <v>308.45999999999998</v>
      </c>
      <c r="G65" s="162" t="s">
        <v>24</v>
      </c>
      <c r="H65" s="257" t="s">
        <v>604</v>
      </c>
    </row>
    <row r="66" spans="1:8" x14ac:dyDescent="0.2">
      <c r="A66" s="231" t="s">
        <v>622</v>
      </c>
      <c r="B66" s="232" t="s">
        <v>623</v>
      </c>
      <c r="C66" s="162" t="s">
        <v>498</v>
      </c>
      <c r="D66" s="233">
        <v>6</v>
      </c>
      <c r="E66" s="234">
        <v>15.68</v>
      </c>
      <c r="F66" s="235">
        <f t="shared" si="1"/>
        <v>94.08</v>
      </c>
      <c r="G66" s="162" t="s">
        <v>24</v>
      </c>
      <c r="H66" s="257" t="s">
        <v>604</v>
      </c>
    </row>
    <row r="67" spans="1:8" x14ac:dyDescent="0.2">
      <c r="A67" s="231" t="s">
        <v>624</v>
      </c>
      <c r="B67" s="232" t="s">
        <v>625</v>
      </c>
      <c r="C67" s="162" t="s">
        <v>498</v>
      </c>
      <c r="D67" s="233">
        <v>2</v>
      </c>
      <c r="E67" s="234">
        <v>69.44</v>
      </c>
      <c r="F67" s="235">
        <f t="shared" si="1"/>
        <v>138.88</v>
      </c>
      <c r="G67" s="162" t="s">
        <v>24</v>
      </c>
      <c r="H67" s="257" t="s">
        <v>604</v>
      </c>
    </row>
    <row r="68" spans="1:8" x14ac:dyDescent="0.2">
      <c r="A68" s="231" t="s">
        <v>626</v>
      </c>
      <c r="B68" s="232" t="s">
        <v>627</v>
      </c>
      <c r="C68" s="162" t="s">
        <v>498</v>
      </c>
      <c r="D68" s="233">
        <v>1</v>
      </c>
      <c r="E68" s="234">
        <v>151.84</v>
      </c>
      <c r="F68" s="235">
        <f t="shared" si="1"/>
        <v>151.84</v>
      </c>
      <c r="G68" s="162">
        <v>1623</v>
      </c>
      <c r="H68" s="257" t="s">
        <v>599</v>
      </c>
    </row>
    <row r="69" spans="1:8" x14ac:dyDescent="0.2">
      <c r="A69" s="231" t="s">
        <v>628</v>
      </c>
      <c r="B69" s="232" t="s">
        <v>629</v>
      </c>
      <c r="C69" s="162" t="s">
        <v>498</v>
      </c>
      <c r="D69" s="233">
        <v>1</v>
      </c>
      <c r="E69" s="234">
        <v>208.86</v>
      </c>
      <c r="F69" s="235">
        <f t="shared" si="1"/>
        <v>208.86</v>
      </c>
      <c r="G69" s="162">
        <v>1619</v>
      </c>
      <c r="H69" s="257" t="s">
        <v>599</v>
      </c>
    </row>
    <row r="70" spans="1:8" x14ac:dyDescent="0.2">
      <c r="A70" s="231" t="s">
        <v>630</v>
      </c>
      <c r="B70" s="232" t="s">
        <v>631</v>
      </c>
      <c r="C70" s="162" t="s">
        <v>498</v>
      </c>
      <c r="D70" s="233">
        <v>1</v>
      </c>
      <c r="E70" s="234">
        <v>323.25</v>
      </c>
      <c r="F70" s="235">
        <f t="shared" si="1"/>
        <v>323.25</v>
      </c>
      <c r="G70" s="162">
        <v>1614</v>
      </c>
      <c r="H70" s="257" t="s">
        <v>599</v>
      </c>
    </row>
    <row r="71" spans="1:8" x14ac:dyDescent="0.2">
      <c r="A71" s="231" t="s">
        <v>632</v>
      </c>
      <c r="B71" s="232" t="s">
        <v>633</v>
      </c>
      <c r="C71" s="162" t="s">
        <v>498</v>
      </c>
      <c r="D71" s="233">
        <v>1</v>
      </c>
      <c r="E71" s="234">
        <v>578.13</v>
      </c>
      <c r="F71" s="235">
        <f t="shared" si="1"/>
        <v>578.13</v>
      </c>
      <c r="G71" s="162">
        <v>1621</v>
      </c>
      <c r="H71" s="257" t="s">
        <v>599</v>
      </c>
    </row>
    <row r="72" spans="1:8" x14ac:dyDescent="0.2">
      <c r="A72" s="231" t="s">
        <v>634</v>
      </c>
      <c r="B72" s="232" t="s">
        <v>635</v>
      </c>
      <c r="C72" s="162" t="s">
        <v>498</v>
      </c>
      <c r="D72" s="233">
        <v>1</v>
      </c>
      <c r="E72" s="234">
        <v>1085.6500000000001</v>
      </c>
      <c r="F72" s="235">
        <f t="shared" si="1"/>
        <v>1085.6500000000001</v>
      </c>
      <c r="G72" s="162">
        <v>1615</v>
      </c>
      <c r="H72" s="257" t="s">
        <v>599</v>
      </c>
    </row>
    <row r="73" spans="1:8" x14ac:dyDescent="0.2">
      <c r="A73" s="231" t="s">
        <v>636</v>
      </c>
      <c r="B73" s="232" t="s">
        <v>637</v>
      </c>
      <c r="C73" s="162" t="s">
        <v>498</v>
      </c>
      <c r="D73" s="233">
        <v>1</v>
      </c>
      <c r="E73" s="234">
        <v>113.19</v>
      </c>
      <c r="F73" s="235">
        <f t="shared" si="1"/>
        <v>113.19</v>
      </c>
      <c r="G73" s="162" t="s">
        <v>24</v>
      </c>
      <c r="H73" s="257" t="s">
        <v>604</v>
      </c>
    </row>
    <row r="74" spans="1:8" x14ac:dyDescent="0.2">
      <c r="A74" s="231" t="s">
        <v>638</v>
      </c>
      <c r="B74" s="232" t="s">
        <v>639</v>
      </c>
      <c r="C74" s="162" t="s">
        <v>498</v>
      </c>
      <c r="D74" s="233">
        <v>2</v>
      </c>
      <c r="E74" s="234">
        <v>12.48</v>
      </c>
      <c r="F74" s="235">
        <f t="shared" si="1"/>
        <v>24.96</v>
      </c>
      <c r="G74" s="162">
        <v>34686</v>
      </c>
      <c r="H74" s="257" t="s">
        <v>599</v>
      </c>
    </row>
    <row r="75" spans="1:8" x14ac:dyDescent="0.2">
      <c r="A75" s="231" t="s">
        <v>640</v>
      </c>
      <c r="B75" s="232" t="s">
        <v>641</v>
      </c>
      <c r="C75" s="162" t="s">
        <v>498</v>
      </c>
      <c r="D75" s="233">
        <v>2</v>
      </c>
      <c r="E75" s="234">
        <v>47.5</v>
      </c>
      <c r="F75" s="235">
        <f t="shared" si="1"/>
        <v>95</v>
      </c>
      <c r="G75" s="162">
        <v>34623</v>
      </c>
      <c r="H75" s="257" t="s">
        <v>599</v>
      </c>
    </row>
    <row r="76" spans="1:8" x14ac:dyDescent="0.2">
      <c r="A76" s="231" t="s">
        <v>642</v>
      </c>
      <c r="B76" s="232" t="s">
        <v>643</v>
      </c>
      <c r="C76" s="162" t="s">
        <v>498</v>
      </c>
      <c r="D76" s="233">
        <v>2</v>
      </c>
      <c r="E76" s="234">
        <v>68.040000000000006</v>
      </c>
      <c r="F76" s="235">
        <f t="shared" si="1"/>
        <v>136.08000000000001</v>
      </c>
      <c r="G76" s="162">
        <v>34628</v>
      </c>
      <c r="H76" s="257" t="s">
        <v>599</v>
      </c>
    </row>
    <row r="77" spans="1:8" x14ac:dyDescent="0.2">
      <c r="A77" s="231" t="s">
        <v>644</v>
      </c>
      <c r="B77" s="232" t="s">
        <v>645</v>
      </c>
      <c r="C77" s="162" t="s">
        <v>498</v>
      </c>
      <c r="D77" s="233">
        <v>2</v>
      </c>
      <c r="E77" s="234">
        <v>48.24</v>
      </c>
      <c r="F77" s="235">
        <f t="shared" si="1"/>
        <v>96.48</v>
      </c>
      <c r="G77" s="162">
        <v>34616</v>
      </c>
      <c r="H77" s="257" t="s">
        <v>599</v>
      </c>
    </row>
    <row r="78" spans="1:8" x14ac:dyDescent="0.2">
      <c r="A78" s="231" t="s">
        <v>646</v>
      </c>
      <c r="B78" s="232" t="s">
        <v>647</v>
      </c>
      <c r="C78" s="162" t="s">
        <v>498</v>
      </c>
      <c r="D78" s="233">
        <v>5</v>
      </c>
      <c r="E78" s="234">
        <v>8.41</v>
      </c>
      <c r="F78" s="235">
        <f t="shared" si="1"/>
        <v>42.05</v>
      </c>
      <c r="G78" s="162">
        <v>34653</v>
      </c>
      <c r="H78" s="257" t="s">
        <v>599</v>
      </c>
    </row>
    <row r="79" spans="1:8" x14ac:dyDescent="0.2">
      <c r="A79" s="231" t="s">
        <v>648</v>
      </c>
      <c r="B79" s="232" t="s">
        <v>649</v>
      </c>
      <c r="C79" s="162" t="s">
        <v>498</v>
      </c>
      <c r="D79" s="233">
        <v>1</v>
      </c>
      <c r="E79" s="234">
        <v>15.25</v>
      </c>
      <c r="F79" s="235">
        <f t="shared" si="1"/>
        <v>15.25</v>
      </c>
      <c r="G79" s="162">
        <v>34688</v>
      </c>
      <c r="H79" s="257" t="s">
        <v>599</v>
      </c>
    </row>
    <row r="80" spans="1:8" x14ac:dyDescent="0.2">
      <c r="A80" s="231" t="s">
        <v>650</v>
      </c>
      <c r="B80" s="232" t="s">
        <v>651</v>
      </c>
      <c r="C80" s="162" t="s">
        <v>498</v>
      </c>
      <c r="D80" s="233">
        <v>1</v>
      </c>
      <c r="E80" s="234">
        <v>59.1</v>
      </c>
      <c r="F80" s="235">
        <f t="shared" si="1"/>
        <v>59.1</v>
      </c>
      <c r="G80" s="162">
        <v>34709</v>
      </c>
      <c r="H80" s="257" t="s">
        <v>599</v>
      </c>
    </row>
    <row r="81" spans="1:8" x14ac:dyDescent="0.2">
      <c r="A81" s="231" t="s">
        <v>652</v>
      </c>
      <c r="B81" s="232" t="s">
        <v>653</v>
      </c>
      <c r="C81" s="162" t="s">
        <v>498</v>
      </c>
      <c r="D81" s="233">
        <v>1</v>
      </c>
      <c r="E81" s="234">
        <v>70.59</v>
      </c>
      <c r="F81" s="235">
        <f t="shared" si="1"/>
        <v>70.59</v>
      </c>
      <c r="G81" s="162">
        <v>34714</v>
      </c>
      <c r="H81" s="257" t="s">
        <v>599</v>
      </c>
    </row>
    <row r="82" spans="1:8" x14ac:dyDescent="0.2">
      <c r="A82" s="231" t="s">
        <v>654</v>
      </c>
      <c r="B82" s="232" t="s">
        <v>655</v>
      </c>
      <c r="C82" s="162" t="s">
        <v>498</v>
      </c>
      <c r="D82" s="233">
        <v>1</v>
      </c>
      <c r="E82" s="234">
        <v>131.88999999999999</v>
      </c>
      <c r="F82" s="235">
        <f t="shared" si="1"/>
        <v>131.88999999999999</v>
      </c>
      <c r="G82" s="162">
        <v>39446</v>
      </c>
      <c r="H82" s="257" t="s">
        <v>599</v>
      </c>
    </row>
    <row r="83" spans="1:8" x14ac:dyDescent="0.2">
      <c r="A83" s="231" t="s">
        <v>656</v>
      </c>
      <c r="B83" s="232" t="s">
        <v>657</v>
      </c>
      <c r="C83" s="162" t="s">
        <v>498</v>
      </c>
      <c r="D83" s="233">
        <v>1</v>
      </c>
      <c r="E83" s="234">
        <v>147.75</v>
      </c>
      <c r="F83" s="235">
        <f t="shared" si="1"/>
        <v>147.75</v>
      </c>
      <c r="G83" s="162">
        <v>39456</v>
      </c>
      <c r="H83" s="257" t="s">
        <v>599</v>
      </c>
    </row>
    <row r="84" spans="1:8" x14ac:dyDescent="0.2">
      <c r="A84" s="231" t="s">
        <v>658</v>
      </c>
      <c r="B84" s="232" t="s">
        <v>659</v>
      </c>
      <c r="C84" s="162" t="s">
        <v>498</v>
      </c>
      <c r="D84" s="233">
        <v>60</v>
      </c>
      <c r="E84" s="234">
        <v>10.4</v>
      </c>
      <c r="F84" s="235">
        <f t="shared" si="1"/>
        <v>624</v>
      </c>
      <c r="G84" s="162" t="s">
        <v>24</v>
      </c>
      <c r="H84" s="257" t="s">
        <v>604</v>
      </c>
    </row>
    <row r="85" spans="1:8" x14ac:dyDescent="0.2">
      <c r="A85" s="231" t="s">
        <v>660</v>
      </c>
      <c r="B85" s="232" t="s">
        <v>661</v>
      </c>
      <c r="C85" s="162" t="s">
        <v>498</v>
      </c>
      <c r="D85" s="233">
        <v>60</v>
      </c>
      <c r="E85" s="234">
        <v>16.11</v>
      </c>
      <c r="F85" s="235">
        <f t="shared" si="1"/>
        <v>966.59999999999991</v>
      </c>
      <c r="G85" s="162" t="s">
        <v>24</v>
      </c>
      <c r="H85" s="257" t="s">
        <v>604</v>
      </c>
    </row>
    <row r="86" spans="1:8" x14ac:dyDescent="0.2">
      <c r="A86" s="231" t="s">
        <v>662</v>
      </c>
      <c r="B86" s="232" t="s">
        <v>663</v>
      </c>
      <c r="C86" s="162" t="s">
        <v>617</v>
      </c>
      <c r="D86" s="233">
        <v>10</v>
      </c>
      <c r="E86" s="234">
        <v>1.74</v>
      </c>
      <c r="F86" s="235">
        <f t="shared" ref="F86:F117" si="2">D86*E86</f>
        <v>17.399999999999999</v>
      </c>
      <c r="G86" s="162">
        <v>2687</v>
      </c>
      <c r="H86" s="257" t="s">
        <v>599</v>
      </c>
    </row>
    <row r="87" spans="1:8" x14ac:dyDescent="0.2">
      <c r="A87" s="231" t="s">
        <v>664</v>
      </c>
      <c r="B87" s="232" t="s">
        <v>665</v>
      </c>
      <c r="C87" s="162" t="s">
        <v>617</v>
      </c>
      <c r="D87" s="233">
        <v>10</v>
      </c>
      <c r="E87" s="234">
        <v>2.08</v>
      </c>
      <c r="F87" s="235">
        <f t="shared" si="2"/>
        <v>20.8</v>
      </c>
      <c r="G87" s="162">
        <v>2689</v>
      </c>
      <c r="H87" s="257" t="s">
        <v>599</v>
      </c>
    </row>
    <row r="88" spans="1:8" x14ac:dyDescent="0.2">
      <c r="A88" s="231" t="s">
        <v>666</v>
      </c>
      <c r="B88" s="232" t="s">
        <v>667</v>
      </c>
      <c r="C88" s="162" t="s">
        <v>617</v>
      </c>
      <c r="D88" s="233">
        <v>10</v>
      </c>
      <c r="E88" s="234">
        <v>13.33</v>
      </c>
      <c r="F88" s="235">
        <f t="shared" si="2"/>
        <v>133.30000000000001</v>
      </c>
      <c r="G88" s="162" t="s">
        <v>24</v>
      </c>
      <c r="H88" s="257" t="s">
        <v>604</v>
      </c>
    </row>
    <row r="89" spans="1:8" x14ac:dyDescent="0.2">
      <c r="A89" s="231" t="s">
        <v>668</v>
      </c>
      <c r="B89" s="232" t="s">
        <v>669</v>
      </c>
      <c r="C89" s="162" t="s">
        <v>498</v>
      </c>
      <c r="D89" s="233">
        <v>4</v>
      </c>
      <c r="E89" s="234">
        <v>5.24</v>
      </c>
      <c r="F89" s="235">
        <f t="shared" si="2"/>
        <v>20.96</v>
      </c>
      <c r="G89" s="162">
        <v>38096</v>
      </c>
      <c r="H89" s="257" t="s">
        <v>599</v>
      </c>
    </row>
    <row r="90" spans="1:8" x14ac:dyDescent="0.2">
      <c r="A90" s="231" t="s">
        <v>670</v>
      </c>
      <c r="B90" s="232" t="s">
        <v>671</v>
      </c>
      <c r="C90" s="162" t="s">
        <v>498</v>
      </c>
      <c r="D90" s="233">
        <v>3</v>
      </c>
      <c r="E90" s="234">
        <v>140.97</v>
      </c>
      <c r="F90" s="235">
        <f t="shared" si="2"/>
        <v>422.90999999999997</v>
      </c>
      <c r="G90" s="162" t="s">
        <v>24</v>
      </c>
      <c r="H90" s="257" t="s">
        <v>604</v>
      </c>
    </row>
    <row r="91" spans="1:8" x14ac:dyDescent="0.2">
      <c r="A91" s="231" t="s">
        <v>672</v>
      </c>
      <c r="B91" s="232" t="s">
        <v>673</v>
      </c>
      <c r="C91" s="162" t="s">
        <v>498</v>
      </c>
      <c r="D91" s="233">
        <v>1</v>
      </c>
      <c r="E91" s="234">
        <v>16.91</v>
      </c>
      <c r="F91" s="235">
        <f t="shared" si="2"/>
        <v>16.91</v>
      </c>
      <c r="G91" s="162">
        <v>38114</v>
      </c>
      <c r="H91" s="257" t="s">
        <v>599</v>
      </c>
    </row>
    <row r="92" spans="1:8" x14ac:dyDescent="0.2">
      <c r="A92" s="231" t="s">
        <v>674</v>
      </c>
      <c r="B92" s="232" t="s">
        <v>675</v>
      </c>
      <c r="C92" s="162" t="s">
        <v>498</v>
      </c>
      <c r="D92" s="233">
        <v>1</v>
      </c>
      <c r="E92" s="234">
        <v>18.059999999999999</v>
      </c>
      <c r="F92" s="235">
        <f t="shared" si="2"/>
        <v>18.059999999999999</v>
      </c>
      <c r="G92" s="162">
        <v>38115</v>
      </c>
      <c r="H92" s="257" t="s">
        <v>599</v>
      </c>
    </row>
    <row r="93" spans="1:8" x14ac:dyDescent="0.2">
      <c r="A93" s="231" t="s">
        <v>676</v>
      </c>
      <c r="B93" s="232" t="s">
        <v>677</v>
      </c>
      <c r="C93" s="162" t="s">
        <v>498</v>
      </c>
      <c r="D93" s="233">
        <v>1</v>
      </c>
      <c r="E93" s="234">
        <v>15.65</v>
      </c>
      <c r="F93" s="235">
        <f t="shared" si="2"/>
        <v>15.65</v>
      </c>
      <c r="G93" s="162">
        <v>38078</v>
      </c>
      <c r="H93" s="257" t="s">
        <v>599</v>
      </c>
    </row>
    <row r="94" spans="1:8" x14ac:dyDescent="0.2">
      <c r="A94" s="231" t="s">
        <v>678</v>
      </c>
      <c r="B94" s="232" t="s">
        <v>679</v>
      </c>
      <c r="C94" s="162" t="s">
        <v>498</v>
      </c>
      <c r="D94" s="233">
        <v>1</v>
      </c>
      <c r="E94" s="234">
        <v>8.5</v>
      </c>
      <c r="F94" s="235">
        <f t="shared" si="2"/>
        <v>8.5</v>
      </c>
      <c r="G94" s="162">
        <v>38113</v>
      </c>
      <c r="H94" s="257" t="s">
        <v>599</v>
      </c>
    </row>
    <row r="95" spans="1:8" x14ac:dyDescent="0.2">
      <c r="A95" s="231" t="s">
        <v>680</v>
      </c>
      <c r="B95" s="232" t="s">
        <v>681</v>
      </c>
      <c r="C95" s="162" t="s">
        <v>498</v>
      </c>
      <c r="D95" s="233">
        <v>1</v>
      </c>
      <c r="E95" s="234">
        <v>9.1199999999999992</v>
      </c>
      <c r="F95" s="235">
        <f t="shared" si="2"/>
        <v>9.1199999999999992</v>
      </c>
      <c r="G95" s="162">
        <v>38063</v>
      </c>
      <c r="H95" s="257" t="s">
        <v>599</v>
      </c>
    </row>
    <row r="96" spans="1:8" ht="22.5" x14ac:dyDescent="0.2">
      <c r="A96" s="231" t="s">
        <v>682</v>
      </c>
      <c r="B96" s="232" t="s">
        <v>683</v>
      </c>
      <c r="C96" s="162" t="s">
        <v>498</v>
      </c>
      <c r="D96" s="233">
        <v>1</v>
      </c>
      <c r="E96" s="234">
        <v>27.19</v>
      </c>
      <c r="F96" s="235">
        <f t="shared" si="2"/>
        <v>27.19</v>
      </c>
      <c r="G96" s="162">
        <v>38080</v>
      </c>
      <c r="H96" s="257" t="s">
        <v>599</v>
      </c>
    </row>
    <row r="97" spans="1:8" x14ac:dyDescent="0.2">
      <c r="A97" s="231" t="s">
        <v>684</v>
      </c>
      <c r="B97" s="232" t="s">
        <v>685</v>
      </c>
      <c r="C97" s="162" t="s">
        <v>498</v>
      </c>
      <c r="D97" s="233">
        <v>1</v>
      </c>
      <c r="E97" s="234">
        <v>14.87</v>
      </c>
      <c r="F97" s="235">
        <f t="shared" si="2"/>
        <v>14.87</v>
      </c>
      <c r="G97" s="162">
        <v>38069</v>
      </c>
      <c r="H97" s="257" t="s">
        <v>599</v>
      </c>
    </row>
    <row r="98" spans="1:8" x14ac:dyDescent="0.2">
      <c r="A98" s="231" t="s">
        <v>686</v>
      </c>
      <c r="B98" s="232" t="s">
        <v>687</v>
      </c>
      <c r="C98" s="162" t="s">
        <v>498</v>
      </c>
      <c r="D98" s="233">
        <v>1</v>
      </c>
      <c r="E98" s="234">
        <v>14.53</v>
      </c>
      <c r="F98" s="235">
        <f t="shared" si="2"/>
        <v>14.53</v>
      </c>
      <c r="G98" s="162">
        <v>38077</v>
      </c>
      <c r="H98" s="257" t="s">
        <v>599</v>
      </c>
    </row>
    <row r="99" spans="1:8" x14ac:dyDescent="0.2">
      <c r="A99" s="231" t="s">
        <v>688</v>
      </c>
      <c r="B99" s="259" t="s">
        <v>689</v>
      </c>
      <c r="C99" s="162" t="s">
        <v>498</v>
      </c>
      <c r="D99" s="233">
        <v>1</v>
      </c>
      <c r="E99" s="234">
        <v>6.53</v>
      </c>
      <c r="F99" s="235">
        <f t="shared" si="2"/>
        <v>6.53</v>
      </c>
      <c r="G99" s="162">
        <v>38112</v>
      </c>
      <c r="H99" s="257" t="s">
        <v>599</v>
      </c>
    </row>
    <row r="100" spans="1:8" x14ac:dyDescent="0.2">
      <c r="A100" s="231" t="s">
        <v>690</v>
      </c>
      <c r="B100" s="232" t="s">
        <v>691</v>
      </c>
      <c r="C100" s="162" t="s">
        <v>498</v>
      </c>
      <c r="D100" s="233">
        <v>1</v>
      </c>
      <c r="E100" s="234">
        <v>6.7</v>
      </c>
      <c r="F100" s="235">
        <f t="shared" si="2"/>
        <v>6.7</v>
      </c>
      <c r="G100" s="162">
        <v>38062</v>
      </c>
      <c r="H100" s="257" t="s">
        <v>599</v>
      </c>
    </row>
    <row r="101" spans="1:8" x14ac:dyDescent="0.2">
      <c r="A101" s="231" t="s">
        <v>692</v>
      </c>
      <c r="B101" s="232" t="s">
        <v>693</v>
      </c>
      <c r="C101" s="162" t="s">
        <v>498</v>
      </c>
      <c r="D101" s="233">
        <v>1</v>
      </c>
      <c r="E101" s="234">
        <v>15.89</v>
      </c>
      <c r="F101" s="235">
        <f t="shared" si="2"/>
        <v>15.89</v>
      </c>
      <c r="G101" s="162">
        <v>38070</v>
      </c>
      <c r="H101" s="257" t="s">
        <v>599</v>
      </c>
    </row>
    <row r="102" spans="1:8" x14ac:dyDescent="0.2">
      <c r="A102" s="231" t="s">
        <v>694</v>
      </c>
      <c r="B102" s="232" t="s">
        <v>695</v>
      </c>
      <c r="C102" s="162" t="s">
        <v>498</v>
      </c>
      <c r="D102" s="233">
        <v>1</v>
      </c>
      <c r="E102" s="234">
        <v>24.16</v>
      </c>
      <c r="F102" s="235">
        <f t="shared" si="2"/>
        <v>24.16</v>
      </c>
      <c r="G102" s="162">
        <v>38074</v>
      </c>
      <c r="H102" s="257" t="s">
        <v>599</v>
      </c>
    </row>
    <row r="103" spans="1:8" ht="22.5" x14ac:dyDescent="0.2">
      <c r="A103" s="231" t="s">
        <v>696</v>
      </c>
      <c r="B103" s="232" t="s">
        <v>697</v>
      </c>
      <c r="C103" s="162" t="s">
        <v>498</v>
      </c>
      <c r="D103" s="233">
        <v>1</v>
      </c>
      <c r="E103" s="234">
        <v>20.74</v>
      </c>
      <c r="F103" s="235">
        <f t="shared" si="2"/>
        <v>20.74</v>
      </c>
      <c r="G103" s="162">
        <v>38079</v>
      </c>
      <c r="H103" s="257" t="s">
        <v>599</v>
      </c>
    </row>
    <row r="104" spans="1:8" x14ac:dyDescent="0.2">
      <c r="A104" s="231" t="s">
        <v>698</v>
      </c>
      <c r="B104" s="232" t="s">
        <v>699</v>
      </c>
      <c r="C104" s="162" t="s">
        <v>498</v>
      </c>
      <c r="D104" s="233">
        <v>1</v>
      </c>
      <c r="E104" s="234">
        <v>13.76</v>
      </c>
      <c r="F104" s="235">
        <f t="shared" si="2"/>
        <v>13.76</v>
      </c>
      <c r="G104" s="162">
        <v>38068</v>
      </c>
      <c r="H104" s="257" t="s">
        <v>599</v>
      </c>
    </row>
    <row r="105" spans="1:8" x14ac:dyDescent="0.2">
      <c r="A105" s="231" t="s">
        <v>700</v>
      </c>
      <c r="B105" s="232" t="s">
        <v>701</v>
      </c>
      <c r="C105" s="162" t="s">
        <v>498</v>
      </c>
      <c r="D105" s="233">
        <v>1</v>
      </c>
      <c r="E105" s="234">
        <v>16.45</v>
      </c>
      <c r="F105" s="235">
        <f t="shared" si="2"/>
        <v>16.45</v>
      </c>
      <c r="G105" s="162">
        <v>38071</v>
      </c>
      <c r="H105" s="257" t="s">
        <v>599</v>
      </c>
    </row>
    <row r="106" spans="1:8" x14ac:dyDescent="0.2">
      <c r="A106" s="231" t="s">
        <v>702</v>
      </c>
      <c r="B106" s="232" t="s">
        <v>703</v>
      </c>
      <c r="C106" s="162" t="s">
        <v>498</v>
      </c>
      <c r="D106" s="233">
        <v>60</v>
      </c>
      <c r="E106" s="234">
        <v>5.13</v>
      </c>
      <c r="F106" s="235">
        <f t="shared" si="2"/>
        <v>307.8</v>
      </c>
      <c r="G106" s="162" t="s">
        <v>24</v>
      </c>
      <c r="H106" s="257" t="s">
        <v>604</v>
      </c>
    </row>
    <row r="107" spans="1:8" x14ac:dyDescent="0.2">
      <c r="A107" s="231" t="s">
        <v>704</v>
      </c>
      <c r="B107" s="232" t="s">
        <v>705</v>
      </c>
      <c r="C107" s="162" t="s">
        <v>498</v>
      </c>
      <c r="D107" s="233">
        <v>10</v>
      </c>
      <c r="E107" s="234">
        <v>6.02</v>
      </c>
      <c r="F107" s="235">
        <f t="shared" si="2"/>
        <v>60.199999999999996</v>
      </c>
      <c r="G107" s="162">
        <v>39388</v>
      </c>
      <c r="H107" s="257" t="s">
        <v>599</v>
      </c>
    </row>
    <row r="108" spans="1:8" x14ac:dyDescent="0.2">
      <c r="A108" s="231" t="s">
        <v>706</v>
      </c>
      <c r="B108" s="232" t="s">
        <v>707</v>
      </c>
      <c r="C108" s="162" t="s">
        <v>498</v>
      </c>
      <c r="D108" s="233">
        <v>60</v>
      </c>
      <c r="E108" s="234">
        <v>31.14</v>
      </c>
      <c r="F108" s="235">
        <f t="shared" si="2"/>
        <v>1868.4</v>
      </c>
      <c r="G108" s="162" t="s">
        <v>24</v>
      </c>
      <c r="H108" s="257" t="s">
        <v>604</v>
      </c>
    </row>
    <row r="109" spans="1:8" x14ac:dyDescent="0.2">
      <c r="A109" s="231" t="s">
        <v>708</v>
      </c>
      <c r="B109" s="232" t="s">
        <v>709</v>
      </c>
      <c r="C109" s="162" t="s">
        <v>498</v>
      </c>
      <c r="D109" s="233">
        <v>100</v>
      </c>
      <c r="E109" s="234">
        <v>22.41</v>
      </c>
      <c r="F109" s="235">
        <f t="shared" si="2"/>
        <v>2241</v>
      </c>
      <c r="G109" s="162" t="s">
        <v>24</v>
      </c>
      <c r="H109" s="257" t="s">
        <v>604</v>
      </c>
    </row>
    <row r="110" spans="1:8" x14ac:dyDescent="0.2">
      <c r="A110" s="231" t="s">
        <v>710</v>
      </c>
      <c r="B110" s="232" t="s">
        <v>711</v>
      </c>
      <c r="C110" s="162" t="s">
        <v>498</v>
      </c>
      <c r="D110" s="233">
        <v>10</v>
      </c>
      <c r="E110" s="234">
        <v>24.22</v>
      </c>
      <c r="F110" s="235">
        <f t="shared" si="2"/>
        <v>242.2</v>
      </c>
      <c r="G110" s="162" t="s">
        <v>24</v>
      </c>
      <c r="H110" s="257" t="s">
        <v>604</v>
      </c>
    </row>
    <row r="111" spans="1:8" x14ac:dyDescent="0.2">
      <c r="A111" s="231" t="s">
        <v>712</v>
      </c>
      <c r="B111" s="232" t="s">
        <v>713</v>
      </c>
      <c r="C111" s="162" t="s">
        <v>498</v>
      </c>
      <c r="D111" s="233">
        <v>20</v>
      </c>
      <c r="E111" s="234">
        <v>23.19</v>
      </c>
      <c r="F111" s="235">
        <f t="shared" si="2"/>
        <v>463.8</v>
      </c>
      <c r="G111" s="162" t="s">
        <v>24</v>
      </c>
      <c r="H111" s="257" t="s">
        <v>604</v>
      </c>
    </row>
    <row r="112" spans="1:8" x14ac:dyDescent="0.2">
      <c r="A112" s="231" t="s">
        <v>714</v>
      </c>
      <c r="B112" s="232" t="s">
        <v>715</v>
      </c>
      <c r="C112" s="162" t="s">
        <v>498</v>
      </c>
      <c r="D112" s="233">
        <v>20</v>
      </c>
      <c r="E112" s="234">
        <v>30.8</v>
      </c>
      <c r="F112" s="235">
        <f t="shared" si="2"/>
        <v>616</v>
      </c>
      <c r="G112" s="162" t="s">
        <v>24</v>
      </c>
      <c r="H112" s="257" t="s">
        <v>604</v>
      </c>
    </row>
    <row r="113" spans="1:8" x14ac:dyDescent="0.2">
      <c r="A113" s="231" t="s">
        <v>716</v>
      </c>
      <c r="B113" s="232" t="s">
        <v>717</v>
      </c>
      <c r="C113" s="162" t="s">
        <v>498</v>
      </c>
      <c r="D113" s="233">
        <v>60</v>
      </c>
      <c r="E113" s="234">
        <v>33.93</v>
      </c>
      <c r="F113" s="235">
        <f t="shared" si="2"/>
        <v>2035.8</v>
      </c>
      <c r="G113" s="162" t="s">
        <v>24</v>
      </c>
      <c r="H113" s="257" t="s">
        <v>604</v>
      </c>
    </row>
    <row r="114" spans="1:8" x14ac:dyDescent="0.2">
      <c r="A114" s="231" t="s">
        <v>718</v>
      </c>
      <c r="B114" s="232" t="s">
        <v>719</v>
      </c>
      <c r="C114" s="162" t="s">
        <v>498</v>
      </c>
      <c r="D114" s="233">
        <v>4</v>
      </c>
      <c r="E114" s="234">
        <v>5.43</v>
      </c>
      <c r="F114" s="235">
        <f t="shared" si="2"/>
        <v>21.72</v>
      </c>
      <c r="G114" s="162" t="s">
        <v>24</v>
      </c>
      <c r="H114" s="257" t="s">
        <v>604</v>
      </c>
    </row>
    <row r="115" spans="1:8" x14ac:dyDescent="0.2">
      <c r="A115" s="231" t="s">
        <v>720</v>
      </c>
      <c r="B115" s="232" t="s">
        <v>721</v>
      </c>
      <c r="C115" s="162" t="s">
        <v>498</v>
      </c>
      <c r="D115" s="233">
        <v>2</v>
      </c>
      <c r="E115" s="234">
        <v>5.12</v>
      </c>
      <c r="F115" s="235">
        <f t="shared" si="2"/>
        <v>10.24</v>
      </c>
      <c r="G115" s="162" t="s">
        <v>24</v>
      </c>
      <c r="H115" s="257" t="s">
        <v>604</v>
      </c>
    </row>
    <row r="116" spans="1:8" x14ac:dyDescent="0.2">
      <c r="A116" s="231" t="s">
        <v>722</v>
      </c>
      <c r="B116" s="232" t="s">
        <v>723</v>
      </c>
      <c r="C116" s="162" t="s">
        <v>498</v>
      </c>
      <c r="D116" s="233">
        <v>2</v>
      </c>
      <c r="E116" s="234">
        <v>6.47</v>
      </c>
      <c r="F116" s="235">
        <f t="shared" si="2"/>
        <v>12.94</v>
      </c>
      <c r="G116" s="162" t="s">
        <v>24</v>
      </c>
      <c r="H116" s="257" t="s">
        <v>604</v>
      </c>
    </row>
    <row r="117" spans="1:8" x14ac:dyDescent="0.2">
      <c r="A117" s="231" t="s">
        <v>724</v>
      </c>
      <c r="B117" s="232" t="s">
        <v>725</v>
      </c>
      <c r="C117" s="162" t="s">
        <v>498</v>
      </c>
      <c r="D117" s="233">
        <v>2</v>
      </c>
      <c r="E117" s="234">
        <v>6.96</v>
      </c>
      <c r="F117" s="235">
        <f t="shared" si="2"/>
        <v>13.92</v>
      </c>
      <c r="G117" s="162" t="s">
        <v>24</v>
      </c>
      <c r="H117" s="257" t="s">
        <v>604</v>
      </c>
    </row>
    <row r="118" spans="1:8" x14ac:dyDescent="0.2">
      <c r="A118" s="231" t="s">
        <v>726</v>
      </c>
      <c r="B118" s="232" t="s">
        <v>727</v>
      </c>
      <c r="C118" s="162" t="s">
        <v>498</v>
      </c>
      <c r="D118" s="233">
        <v>5</v>
      </c>
      <c r="E118" s="234">
        <v>2.82</v>
      </c>
      <c r="F118" s="235">
        <f t="shared" ref="F118:F132" si="3">D118*E118</f>
        <v>14.1</v>
      </c>
      <c r="G118" s="162">
        <v>12295</v>
      </c>
      <c r="H118" s="257" t="s">
        <v>599</v>
      </c>
    </row>
    <row r="119" spans="1:8" x14ac:dyDescent="0.2">
      <c r="A119" s="231" t="s">
        <v>728</v>
      </c>
      <c r="B119" s="232" t="s">
        <v>729</v>
      </c>
      <c r="C119" s="162" t="s">
        <v>498</v>
      </c>
      <c r="D119" s="233">
        <v>15</v>
      </c>
      <c r="E119" s="234">
        <v>3.66</v>
      </c>
      <c r="F119" s="235">
        <f t="shared" si="3"/>
        <v>54.900000000000006</v>
      </c>
      <c r="G119" s="162">
        <v>12296</v>
      </c>
      <c r="H119" s="257" t="s">
        <v>599</v>
      </c>
    </row>
    <row r="120" spans="1:8" x14ac:dyDescent="0.2">
      <c r="A120" s="231" t="s">
        <v>730</v>
      </c>
      <c r="B120" s="232" t="s">
        <v>731</v>
      </c>
      <c r="C120" s="162" t="s">
        <v>498</v>
      </c>
      <c r="D120" s="233">
        <v>10</v>
      </c>
      <c r="E120" s="234">
        <v>4.26</v>
      </c>
      <c r="F120" s="235">
        <f t="shared" si="3"/>
        <v>42.599999999999994</v>
      </c>
      <c r="G120" s="162" t="s">
        <v>24</v>
      </c>
      <c r="H120" s="257" t="s">
        <v>604</v>
      </c>
    </row>
    <row r="121" spans="1:8" x14ac:dyDescent="0.2">
      <c r="A121" s="231" t="s">
        <v>732</v>
      </c>
      <c r="B121" s="232" t="s">
        <v>733</v>
      </c>
      <c r="C121" s="162" t="s">
        <v>498</v>
      </c>
      <c r="D121" s="233">
        <v>10</v>
      </c>
      <c r="E121" s="234">
        <v>1.31</v>
      </c>
      <c r="F121" s="235">
        <f t="shared" si="3"/>
        <v>13.100000000000001</v>
      </c>
      <c r="G121" s="162">
        <v>1571</v>
      </c>
      <c r="H121" s="257" t="s">
        <v>599</v>
      </c>
    </row>
    <row r="122" spans="1:8" x14ac:dyDescent="0.2">
      <c r="A122" s="231" t="s">
        <v>734</v>
      </c>
      <c r="B122" s="232" t="s">
        <v>735</v>
      </c>
      <c r="C122" s="162" t="s">
        <v>498</v>
      </c>
      <c r="D122" s="233">
        <v>10</v>
      </c>
      <c r="E122" s="234">
        <v>1.56</v>
      </c>
      <c r="F122" s="235">
        <f t="shared" si="3"/>
        <v>15.600000000000001</v>
      </c>
      <c r="G122" s="162">
        <v>1573</v>
      </c>
      <c r="H122" s="257" t="s">
        <v>599</v>
      </c>
    </row>
    <row r="123" spans="1:8" x14ac:dyDescent="0.2">
      <c r="A123" s="231" t="s">
        <v>736</v>
      </c>
      <c r="B123" s="232" t="s">
        <v>737</v>
      </c>
      <c r="C123" s="162" t="s">
        <v>498</v>
      </c>
      <c r="D123" s="233">
        <v>1</v>
      </c>
      <c r="E123" s="234">
        <v>250.26</v>
      </c>
      <c r="F123" s="235">
        <f t="shared" si="3"/>
        <v>250.26</v>
      </c>
      <c r="G123" s="162" t="s">
        <v>24</v>
      </c>
      <c r="H123" s="257" t="s">
        <v>604</v>
      </c>
    </row>
    <row r="124" spans="1:8" x14ac:dyDescent="0.2">
      <c r="A124" s="231" t="s">
        <v>738</v>
      </c>
      <c r="B124" s="232" t="s">
        <v>739</v>
      </c>
      <c r="C124" s="162" t="s">
        <v>498</v>
      </c>
      <c r="D124" s="233">
        <v>1</v>
      </c>
      <c r="E124" s="234">
        <v>7.43</v>
      </c>
      <c r="F124" s="235">
        <f t="shared" si="3"/>
        <v>7.43</v>
      </c>
      <c r="G124" s="162">
        <v>38101</v>
      </c>
      <c r="H124" s="257" t="s">
        <v>599</v>
      </c>
    </row>
    <row r="125" spans="1:8" x14ac:dyDescent="0.2">
      <c r="A125" s="231" t="s">
        <v>740</v>
      </c>
      <c r="B125" s="232" t="s">
        <v>741</v>
      </c>
      <c r="C125" s="162" t="s">
        <v>498</v>
      </c>
      <c r="D125" s="233">
        <v>1</v>
      </c>
      <c r="E125" s="234">
        <v>8.73</v>
      </c>
      <c r="F125" s="235">
        <f t="shared" si="3"/>
        <v>8.73</v>
      </c>
      <c r="G125" s="162">
        <v>7528</v>
      </c>
      <c r="H125" s="257" t="s">
        <v>599</v>
      </c>
    </row>
    <row r="126" spans="1:8" x14ac:dyDescent="0.2">
      <c r="A126" s="231" t="s">
        <v>742</v>
      </c>
      <c r="B126" s="232" t="s">
        <v>743</v>
      </c>
      <c r="C126" s="162" t="s">
        <v>498</v>
      </c>
      <c r="D126" s="233">
        <v>1</v>
      </c>
      <c r="E126" s="234">
        <v>13.31</v>
      </c>
      <c r="F126" s="235">
        <f t="shared" si="3"/>
        <v>13.31</v>
      </c>
      <c r="G126" s="162">
        <v>12147</v>
      </c>
      <c r="H126" s="257" t="s">
        <v>599</v>
      </c>
    </row>
    <row r="127" spans="1:8" x14ac:dyDescent="0.2">
      <c r="A127" s="231" t="s">
        <v>744</v>
      </c>
      <c r="B127" s="232" t="s">
        <v>745</v>
      </c>
      <c r="C127" s="162" t="s">
        <v>498</v>
      </c>
      <c r="D127" s="233">
        <v>1</v>
      </c>
      <c r="E127" s="234">
        <v>15.12</v>
      </c>
      <c r="F127" s="235">
        <f t="shared" si="3"/>
        <v>15.12</v>
      </c>
      <c r="G127" s="162">
        <v>38075</v>
      </c>
      <c r="H127" s="257" t="s">
        <v>599</v>
      </c>
    </row>
    <row r="128" spans="1:8" x14ac:dyDescent="0.2">
      <c r="A128" s="231" t="s">
        <v>746</v>
      </c>
      <c r="B128" s="232" t="s">
        <v>747</v>
      </c>
      <c r="C128" s="162" t="s">
        <v>498</v>
      </c>
      <c r="D128" s="233">
        <v>1</v>
      </c>
      <c r="E128" s="234">
        <v>9.5</v>
      </c>
      <c r="F128" s="235">
        <f t="shared" si="3"/>
        <v>9.5</v>
      </c>
      <c r="G128" s="162">
        <v>38102</v>
      </c>
      <c r="H128" s="257" t="s">
        <v>599</v>
      </c>
    </row>
    <row r="129" spans="1:8" x14ac:dyDescent="0.2">
      <c r="A129" s="231" t="s">
        <v>748</v>
      </c>
      <c r="B129" s="232" t="s">
        <v>749</v>
      </c>
      <c r="C129" s="162" t="s">
        <v>498</v>
      </c>
      <c r="D129" s="233">
        <v>1</v>
      </c>
      <c r="E129" s="234">
        <v>15.62</v>
      </c>
      <c r="F129" s="235">
        <f t="shared" si="3"/>
        <v>15.62</v>
      </c>
      <c r="G129" s="162">
        <v>38103</v>
      </c>
      <c r="H129" s="257" t="s">
        <v>599</v>
      </c>
    </row>
    <row r="130" spans="1:8" x14ac:dyDescent="0.2">
      <c r="A130" s="231" t="s">
        <v>750</v>
      </c>
      <c r="B130" s="232" t="s">
        <v>751</v>
      </c>
      <c r="C130" s="162" t="s">
        <v>498</v>
      </c>
      <c r="D130" s="233">
        <v>1</v>
      </c>
      <c r="E130" s="234">
        <v>30.58</v>
      </c>
      <c r="F130" s="235">
        <f t="shared" si="3"/>
        <v>30.58</v>
      </c>
      <c r="G130" s="162">
        <v>38104</v>
      </c>
      <c r="H130" s="257" t="s">
        <v>599</v>
      </c>
    </row>
    <row r="131" spans="1:8" x14ac:dyDescent="0.2">
      <c r="A131" s="231" t="s">
        <v>752</v>
      </c>
      <c r="B131" s="232" t="s">
        <v>753</v>
      </c>
      <c r="C131" s="162" t="s">
        <v>498</v>
      </c>
      <c r="D131" s="233">
        <v>1</v>
      </c>
      <c r="E131" s="234">
        <v>19.04</v>
      </c>
      <c r="F131" s="235">
        <f t="shared" si="3"/>
        <v>19.04</v>
      </c>
      <c r="G131" s="162" t="s">
        <v>24</v>
      </c>
      <c r="H131" s="257" t="s">
        <v>604</v>
      </c>
    </row>
    <row r="132" spans="1:8" x14ac:dyDescent="0.2">
      <c r="A132" s="231" t="s">
        <v>754</v>
      </c>
      <c r="B132" s="232" t="s">
        <v>755</v>
      </c>
      <c r="C132" s="162" t="s">
        <v>498</v>
      </c>
      <c r="D132" s="233">
        <v>1</v>
      </c>
      <c r="E132" s="234">
        <v>16.95</v>
      </c>
      <c r="F132" s="235">
        <f t="shared" si="3"/>
        <v>16.95</v>
      </c>
      <c r="G132" s="162">
        <v>38076</v>
      </c>
      <c r="H132" s="257" t="s">
        <v>599</v>
      </c>
    </row>
    <row r="133" spans="1:8" x14ac:dyDescent="0.2">
      <c r="A133" s="231" t="s">
        <v>756</v>
      </c>
      <c r="B133" s="232"/>
      <c r="C133" s="162"/>
      <c r="D133" s="233"/>
      <c r="E133" s="234"/>
      <c r="F133" s="261"/>
      <c r="G133" s="262" t="s">
        <v>24</v>
      </c>
      <c r="H133" s="263"/>
    </row>
    <row r="134" spans="1:8" x14ac:dyDescent="0.2">
      <c r="A134" s="382" t="s">
        <v>757</v>
      </c>
      <c r="B134" s="383"/>
      <c r="C134" s="383"/>
      <c r="D134" s="383"/>
      <c r="E134" s="391"/>
      <c r="F134" s="236">
        <f>SUM(F54:F133)</f>
        <v>18234.259999999998</v>
      </c>
      <c r="G134" s="267"/>
      <c r="H134" s="267"/>
    </row>
    <row r="135" spans="1:8" x14ac:dyDescent="0.2">
      <c r="A135" s="227" t="s">
        <v>758</v>
      </c>
      <c r="B135" s="228" t="s">
        <v>759</v>
      </c>
      <c r="C135" s="238"/>
      <c r="D135" s="238"/>
      <c r="E135" s="260"/>
      <c r="F135" s="238"/>
      <c r="G135" s="228"/>
      <c r="H135" s="228"/>
    </row>
    <row r="136" spans="1:8" x14ac:dyDescent="0.2">
      <c r="A136" s="231" t="s">
        <v>760</v>
      </c>
      <c r="B136" s="232" t="s">
        <v>761</v>
      </c>
      <c r="C136" s="162" t="s">
        <v>498</v>
      </c>
      <c r="D136" s="233">
        <v>1</v>
      </c>
      <c r="E136" s="234">
        <v>11.57</v>
      </c>
      <c r="F136" s="264">
        <f t="shared" ref="F136:F154" si="4">D136*E136</f>
        <v>11.57</v>
      </c>
      <c r="G136" s="265">
        <v>6138</v>
      </c>
      <c r="H136" s="269" t="s">
        <v>495</v>
      </c>
    </row>
    <row r="137" spans="1:8" x14ac:dyDescent="0.2">
      <c r="A137" s="231" t="s">
        <v>762</v>
      </c>
      <c r="B137" s="232" t="s">
        <v>763</v>
      </c>
      <c r="C137" s="162" t="s">
        <v>498</v>
      </c>
      <c r="D137" s="233">
        <v>2</v>
      </c>
      <c r="E137" s="234">
        <v>291.41000000000003</v>
      </c>
      <c r="F137" s="235">
        <f t="shared" si="4"/>
        <v>582.82000000000005</v>
      </c>
      <c r="G137" s="162" t="s">
        <v>24</v>
      </c>
      <c r="H137" s="257" t="s">
        <v>604</v>
      </c>
    </row>
    <row r="138" spans="1:8" x14ac:dyDescent="0.2">
      <c r="A138" s="231" t="s">
        <v>764</v>
      </c>
      <c r="B138" s="259" t="s">
        <v>765</v>
      </c>
      <c r="C138" s="162" t="s">
        <v>498</v>
      </c>
      <c r="D138" s="233">
        <v>2</v>
      </c>
      <c r="E138" s="234">
        <v>41.89</v>
      </c>
      <c r="F138" s="235">
        <f t="shared" si="4"/>
        <v>83.78</v>
      </c>
      <c r="G138" s="162">
        <v>377</v>
      </c>
      <c r="H138" s="173" t="s">
        <v>495</v>
      </c>
    </row>
    <row r="139" spans="1:8" x14ac:dyDescent="0.2">
      <c r="A139" s="231" t="s">
        <v>766</v>
      </c>
      <c r="B139" s="232" t="s">
        <v>767</v>
      </c>
      <c r="C139" s="162" t="s">
        <v>498</v>
      </c>
      <c r="D139" s="233">
        <v>2</v>
      </c>
      <c r="E139" s="234">
        <v>13.37</v>
      </c>
      <c r="F139" s="235">
        <f t="shared" si="4"/>
        <v>26.74</v>
      </c>
      <c r="G139" s="162" t="s">
        <v>24</v>
      </c>
      <c r="H139" s="257" t="s">
        <v>604</v>
      </c>
    </row>
    <row r="140" spans="1:8" x14ac:dyDescent="0.2">
      <c r="A140" s="231" t="s">
        <v>768</v>
      </c>
      <c r="B140" s="232" t="s">
        <v>769</v>
      </c>
      <c r="C140" s="162" t="s">
        <v>498</v>
      </c>
      <c r="D140" s="233">
        <v>4</v>
      </c>
      <c r="E140" s="234">
        <v>124.46</v>
      </c>
      <c r="F140" s="235">
        <f t="shared" si="4"/>
        <v>497.84</v>
      </c>
      <c r="G140" s="162">
        <v>1370</v>
      </c>
      <c r="H140" s="173" t="s">
        <v>495</v>
      </c>
    </row>
    <row r="141" spans="1:8" x14ac:dyDescent="0.2">
      <c r="A141" s="231" t="s">
        <v>770</v>
      </c>
      <c r="B141" s="232" t="s">
        <v>771</v>
      </c>
      <c r="C141" s="162" t="s">
        <v>498</v>
      </c>
      <c r="D141" s="233">
        <v>4</v>
      </c>
      <c r="E141" s="234">
        <v>37.159999999999997</v>
      </c>
      <c r="F141" s="235">
        <f t="shared" si="4"/>
        <v>148.63999999999999</v>
      </c>
      <c r="G141" s="162" t="s">
        <v>24</v>
      </c>
      <c r="H141" s="257" t="s">
        <v>604</v>
      </c>
    </row>
    <row r="142" spans="1:8" x14ac:dyDescent="0.2">
      <c r="A142" s="231" t="s">
        <v>772</v>
      </c>
      <c r="B142" s="232" t="s">
        <v>773</v>
      </c>
      <c r="C142" s="162" t="s">
        <v>548</v>
      </c>
      <c r="D142" s="233">
        <v>4</v>
      </c>
      <c r="E142" s="234">
        <v>10.25</v>
      </c>
      <c r="F142" s="235">
        <f t="shared" si="4"/>
        <v>41</v>
      </c>
      <c r="G142" s="162">
        <v>3148</v>
      </c>
      <c r="H142" s="173" t="s">
        <v>495</v>
      </c>
    </row>
    <row r="143" spans="1:8" x14ac:dyDescent="0.2">
      <c r="A143" s="231" t="s">
        <v>774</v>
      </c>
      <c r="B143" s="259" t="s">
        <v>775</v>
      </c>
      <c r="C143" s="162" t="s">
        <v>498</v>
      </c>
      <c r="D143" s="233">
        <v>1</v>
      </c>
      <c r="E143" s="234">
        <v>26.93</v>
      </c>
      <c r="F143" s="235">
        <f t="shared" si="4"/>
        <v>26.93</v>
      </c>
      <c r="G143" s="162">
        <v>11732</v>
      </c>
      <c r="H143" s="173" t="s">
        <v>495</v>
      </c>
    </row>
    <row r="144" spans="1:8" x14ac:dyDescent="0.2">
      <c r="A144" s="231" t="s">
        <v>776</v>
      </c>
      <c r="B144" s="232" t="s">
        <v>777</v>
      </c>
      <c r="C144" s="162" t="s">
        <v>498</v>
      </c>
      <c r="D144" s="233">
        <v>3</v>
      </c>
      <c r="E144" s="234">
        <v>140.32</v>
      </c>
      <c r="F144" s="235">
        <f t="shared" si="4"/>
        <v>420.96</v>
      </c>
      <c r="G144" s="162" t="s">
        <v>24</v>
      </c>
      <c r="H144" s="257" t="s">
        <v>604</v>
      </c>
    </row>
    <row r="145" spans="1:8" x14ac:dyDescent="0.2">
      <c r="A145" s="231" t="s">
        <v>778</v>
      </c>
      <c r="B145" s="232" t="s">
        <v>779</v>
      </c>
      <c r="C145" s="162" t="s">
        <v>617</v>
      </c>
      <c r="D145" s="233">
        <v>10</v>
      </c>
      <c r="E145" s="234">
        <v>6.84</v>
      </c>
      <c r="F145" s="235">
        <f t="shared" si="4"/>
        <v>68.400000000000006</v>
      </c>
      <c r="G145" s="162" t="s">
        <v>24</v>
      </c>
      <c r="H145" s="257" t="s">
        <v>604</v>
      </c>
    </row>
    <row r="146" spans="1:8" x14ac:dyDescent="0.2">
      <c r="A146" s="231" t="s">
        <v>780</v>
      </c>
      <c r="B146" s="232" t="s">
        <v>781</v>
      </c>
      <c r="C146" s="162" t="s">
        <v>498</v>
      </c>
      <c r="D146" s="233">
        <v>2</v>
      </c>
      <c r="E146" s="234">
        <v>48.88</v>
      </c>
      <c r="F146" s="235">
        <f t="shared" si="4"/>
        <v>97.76</v>
      </c>
      <c r="G146" s="162" t="s">
        <v>24</v>
      </c>
      <c r="H146" s="257" t="s">
        <v>604</v>
      </c>
    </row>
    <row r="147" spans="1:8" x14ac:dyDescent="0.2">
      <c r="A147" s="231" t="s">
        <v>782</v>
      </c>
      <c r="B147" s="232" t="s">
        <v>783</v>
      </c>
      <c r="C147" s="162" t="s">
        <v>498</v>
      </c>
      <c r="D147" s="233">
        <v>2</v>
      </c>
      <c r="E147" s="234">
        <v>87.82</v>
      </c>
      <c r="F147" s="235">
        <f t="shared" si="4"/>
        <v>175.64</v>
      </c>
      <c r="G147" s="162" t="s">
        <v>24</v>
      </c>
      <c r="H147" s="257" t="s">
        <v>604</v>
      </c>
    </row>
    <row r="148" spans="1:8" x14ac:dyDescent="0.2">
      <c r="A148" s="231" t="s">
        <v>784</v>
      </c>
      <c r="B148" s="232" t="s">
        <v>785</v>
      </c>
      <c r="C148" s="162" t="s">
        <v>498</v>
      </c>
      <c r="D148" s="233">
        <v>1</v>
      </c>
      <c r="E148" s="234">
        <v>220.09</v>
      </c>
      <c r="F148" s="235">
        <f t="shared" si="4"/>
        <v>220.09</v>
      </c>
      <c r="G148" s="162">
        <v>6150</v>
      </c>
      <c r="H148" s="173" t="s">
        <v>495</v>
      </c>
    </row>
    <row r="149" spans="1:8" x14ac:dyDescent="0.2">
      <c r="A149" s="231" t="s">
        <v>786</v>
      </c>
      <c r="B149" s="232" t="s">
        <v>787</v>
      </c>
      <c r="C149" s="162" t="s">
        <v>498</v>
      </c>
      <c r="D149" s="233">
        <v>1</v>
      </c>
      <c r="E149" s="234">
        <v>173</v>
      </c>
      <c r="F149" s="235">
        <f t="shared" si="4"/>
        <v>173</v>
      </c>
      <c r="G149" s="162">
        <v>6136</v>
      </c>
      <c r="H149" s="173" t="s">
        <v>495</v>
      </c>
    </row>
    <row r="150" spans="1:8" x14ac:dyDescent="0.2">
      <c r="A150" s="231" t="s">
        <v>788</v>
      </c>
      <c r="B150" s="232" t="s">
        <v>789</v>
      </c>
      <c r="C150" s="162" t="s">
        <v>498</v>
      </c>
      <c r="D150" s="233">
        <v>1</v>
      </c>
      <c r="E150" s="234">
        <v>21.75</v>
      </c>
      <c r="F150" s="235">
        <f t="shared" si="4"/>
        <v>21.75</v>
      </c>
      <c r="G150" s="162">
        <v>6145</v>
      </c>
      <c r="H150" s="173" t="s">
        <v>495</v>
      </c>
    </row>
    <row r="151" spans="1:8" x14ac:dyDescent="0.2">
      <c r="A151" s="231" t="s">
        <v>790</v>
      </c>
      <c r="B151" s="232" t="s">
        <v>791</v>
      </c>
      <c r="C151" s="162" t="s">
        <v>498</v>
      </c>
      <c r="D151" s="233">
        <v>1</v>
      </c>
      <c r="E151" s="234">
        <v>103.04</v>
      </c>
      <c r="F151" s="235">
        <f t="shared" si="4"/>
        <v>103.04</v>
      </c>
      <c r="G151" s="162">
        <v>11772</v>
      </c>
      <c r="H151" s="173" t="s">
        <v>495</v>
      </c>
    </row>
    <row r="152" spans="1:8" x14ac:dyDescent="0.2">
      <c r="A152" s="231" t="s">
        <v>792</v>
      </c>
      <c r="B152" s="232" t="s">
        <v>793</v>
      </c>
      <c r="C152" s="162" t="s">
        <v>498</v>
      </c>
      <c r="D152" s="233">
        <v>2</v>
      </c>
      <c r="E152" s="234">
        <v>102.71</v>
      </c>
      <c r="F152" s="235">
        <f t="shared" si="4"/>
        <v>205.42</v>
      </c>
      <c r="G152" s="162">
        <v>11773</v>
      </c>
      <c r="H152" s="173" t="s">
        <v>495</v>
      </c>
    </row>
    <row r="153" spans="1:8" x14ac:dyDescent="0.2">
      <c r="A153" s="231" t="s">
        <v>794</v>
      </c>
      <c r="B153" s="232" t="s">
        <v>795</v>
      </c>
      <c r="C153" s="162" t="s">
        <v>498</v>
      </c>
      <c r="D153" s="233">
        <v>2</v>
      </c>
      <c r="E153" s="234">
        <v>198.43</v>
      </c>
      <c r="F153" s="235">
        <f t="shared" si="4"/>
        <v>396.86</v>
      </c>
      <c r="G153" s="162" t="s">
        <v>24</v>
      </c>
      <c r="H153" s="257" t="s">
        <v>604</v>
      </c>
    </row>
    <row r="154" spans="1:8" x14ac:dyDescent="0.2">
      <c r="A154" s="231" t="s">
        <v>796</v>
      </c>
      <c r="B154" s="232" t="s">
        <v>797</v>
      </c>
      <c r="C154" s="162" t="s">
        <v>498</v>
      </c>
      <c r="D154" s="233">
        <v>2</v>
      </c>
      <c r="E154" s="234">
        <v>53</v>
      </c>
      <c r="F154" s="261">
        <f t="shared" si="4"/>
        <v>106</v>
      </c>
      <c r="G154" s="262" t="s">
        <v>24</v>
      </c>
      <c r="H154" s="263" t="s">
        <v>604</v>
      </c>
    </row>
    <row r="155" spans="1:8" x14ac:dyDescent="0.2">
      <c r="A155" s="382" t="s">
        <v>798</v>
      </c>
      <c r="B155" s="383"/>
      <c r="C155" s="383"/>
      <c r="D155" s="383"/>
      <c r="E155" s="391"/>
      <c r="F155" s="236">
        <f>SUM(F136:F154)</f>
        <v>3408.2400000000002</v>
      </c>
      <c r="G155" s="267"/>
      <c r="H155" s="268"/>
    </row>
    <row r="156" spans="1:8" x14ac:dyDescent="0.2">
      <c r="A156" s="227" t="s">
        <v>799</v>
      </c>
      <c r="B156" s="228" t="s">
        <v>800</v>
      </c>
      <c r="C156" s="238"/>
      <c r="D156" s="238"/>
      <c r="E156" s="260"/>
      <c r="F156" s="238"/>
      <c r="G156" s="228"/>
      <c r="H156" s="238"/>
    </row>
    <row r="157" spans="1:8" x14ac:dyDescent="0.2">
      <c r="A157" s="231" t="s">
        <v>279</v>
      </c>
      <c r="B157" s="232" t="s">
        <v>801</v>
      </c>
      <c r="C157" s="162" t="s">
        <v>494</v>
      </c>
      <c r="D157" s="233">
        <v>2</v>
      </c>
      <c r="E157" s="234">
        <v>62.56</v>
      </c>
      <c r="F157" s="264">
        <f>D157*E157</f>
        <v>125.12</v>
      </c>
      <c r="G157" s="265">
        <v>1339</v>
      </c>
      <c r="H157" s="266" t="s">
        <v>599</v>
      </c>
    </row>
    <row r="158" spans="1:8" x14ac:dyDescent="0.2">
      <c r="A158" s="231" t="s">
        <v>281</v>
      </c>
      <c r="B158" s="232" t="s">
        <v>802</v>
      </c>
      <c r="C158" s="162" t="s">
        <v>803</v>
      </c>
      <c r="D158" s="233">
        <v>1</v>
      </c>
      <c r="E158" s="234">
        <v>44.82</v>
      </c>
      <c r="F158" s="235">
        <f>D158*E158</f>
        <v>44.82</v>
      </c>
      <c r="G158" s="162">
        <v>44396</v>
      </c>
      <c r="H158" s="257" t="s">
        <v>599</v>
      </c>
    </row>
    <row r="159" spans="1:8" x14ac:dyDescent="0.2">
      <c r="A159" s="231"/>
      <c r="B159" s="232" t="s">
        <v>804</v>
      </c>
      <c r="C159" s="162" t="s">
        <v>805</v>
      </c>
      <c r="D159" s="233">
        <v>2</v>
      </c>
      <c r="E159" s="234">
        <v>408.01</v>
      </c>
      <c r="F159" s="261">
        <f>D159*E159</f>
        <v>816.02</v>
      </c>
      <c r="G159" s="262" t="s">
        <v>24</v>
      </c>
      <c r="H159" s="257" t="s">
        <v>604</v>
      </c>
    </row>
    <row r="160" spans="1:8" x14ac:dyDescent="0.2">
      <c r="A160" s="382" t="s">
        <v>806</v>
      </c>
      <c r="B160" s="383"/>
      <c r="C160" s="383"/>
      <c r="D160" s="383"/>
      <c r="E160" s="391"/>
      <c r="F160" s="236">
        <f>SUM(F157:F159)</f>
        <v>985.96</v>
      </c>
      <c r="G160" s="267"/>
      <c r="H160" s="271"/>
    </row>
    <row r="161" spans="1:8" x14ac:dyDescent="0.2">
      <c r="A161" s="227" t="s">
        <v>807</v>
      </c>
      <c r="B161" s="228" t="s">
        <v>808</v>
      </c>
      <c r="C161" s="228"/>
      <c r="D161" s="228"/>
      <c r="E161" s="270"/>
      <c r="F161" s="228"/>
      <c r="G161" s="228"/>
      <c r="H161" s="272"/>
    </row>
    <row r="162" spans="1:8" x14ac:dyDescent="0.2">
      <c r="A162" s="231" t="s">
        <v>809</v>
      </c>
      <c r="B162" s="232" t="s">
        <v>810</v>
      </c>
      <c r="C162" s="162" t="s">
        <v>494</v>
      </c>
      <c r="D162" s="233">
        <v>5</v>
      </c>
      <c r="E162" s="234">
        <v>0.85</v>
      </c>
      <c r="F162" s="264">
        <f t="shared" ref="F162:F174" si="5">D162*E162</f>
        <v>4.25</v>
      </c>
      <c r="G162" s="265">
        <v>1381</v>
      </c>
      <c r="H162" s="257" t="s">
        <v>599</v>
      </c>
    </row>
    <row r="163" spans="1:8" x14ac:dyDescent="0.2">
      <c r="A163" s="231" t="s">
        <v>811</v>
      </c>
      <c r="B163" s="232" t="s">
        <v>812</v>
      </c>
      <c r="C163" s="162" t="s">
        <v>498</v>
      </c>
      <c r="D163" s="233">
        <v>10</v>
      </c>
      <c r="E163" s="234">
        <v>10.72</v>
      </c>
      <c r="F163" s="235">
        <f t="shared" si="5"/>
        <v>107.2</v>
      </c>
      <c r="G163" s="162">
        <v>12815</v>
      </c>
      <c r="H163" s="257" t="s">
        <v>599</v>
      </c>
    </row>
    <row r="164" spans="1:8" x14ac:dyDescent="0.2">
      <c r="A164" s="231" t="s">
        <v>813</v>
      </c>
      <c r="B164" s="232" t="s">
        <v>550</v>
      </c>
      <c r="C164" s="162" t="s">
        <v>494</v>
      </c>
      <c r="D164" s="233">
        <v>2</v>
      </c>
      <c r="E164" s="234">
        <v>0.78</v>
      </c>
      <c r="F164" s="235">
        <f t="shared" si="5"/>
        <v>1.56</v>
      </c>
      <c r="G164" s="162">
        <v>3315</v>
      </c>
      <c r="H164" s="257" t="s">
        <v>599</v>
      </c>
    </row>
    <row r="165" spans="1:8" x14ac:dyDescent="0.2">
      <c r="A165" s="231" t="s">
        <v>814</v>
      </c>
      <c r="B165" s="232" t="s">
        <v>815</v>
      </c>
      <c r="C165" s="162" t="s">
        <v>816</v>
      </c>
      <c r="D165" s="233">
        <v>20</v>
      </c>
      <c r="E165" s="234">
        <v>0.83</v>
      </c>
      <c r="F165" s="235">
        <f t="shared" si="5"/>
        <v>16.599999999999998</v>
      </c>
      <c r="G165" s="162">
        <v>3777</v>
      </c>
      <c r="H165" s="257" t="s">
        <v>599</v>
      </c>
    </row>
    <row r="166" spans="1:8" x14ac:dyDescent="0.2">
      <c r="A166" s="231" t="s">
        <v>817</v>
      </c>
      <c r="B166" s="232" t="s">
        <v>818</v>
      </c>
      <c r="C166" s="162" t="s">
        <v>494</v>
      </c>
      <c r="D166" s="233">
        <v>1</v>
      </c>
      <c r="E166" s="234">
        <v>6.56</v>
      </c>
      <c r="F166" s="235">
        <f t="shared" si="5"/>
        <v>6.56</v>
      </c>
      <c r="G166" s="162">
        <v>43651</v>
      </c>
      <c r="H166" s="257" t="s">
        <v>599</v>
      </c>
    </row>
    <row r="167" spans="1:8" x14ac:dyDescent="0.2">
      <c r="A167" s="231" t="s">
        <v>819</v>
      </c>
      <c r="B167" s="232" t="s">
        <v>820</v>
      </c>
      <c r="C167" s="162" t="s">
        <v>494</v>
      </c>
      <c r="D167" s="233">
        <v>20</v>
      </c>
      <c r="E167" s="234">
        <v>3.65</v>
      </c>
      <c r="F167" s="235">
        <f t="shared" si="5"/>
        <v>73</v>
      </c>
      <c r="G167" s="162">
        <v>43626</v>
      </c>
      <c r="H167" s="257" t="s">
        <v>599</v>
      </c>
    </row>
    <row r="168" spans="1:8" x14ac:dyDescent="0.2">
      <c r="A168" s="231" t="s">
        <v>821</v>
      </c>
      <c r="B168" s="232" t="s">
        <v>822</v>
      </c>
      <c r="C168" s="162" t="s">
        <v>494</v>
      </c>
      <c r="D168" s="233">
        <v>4</v>
      </c>
      <c r="E168" s="234">
        <v>4.99</v>
      </c>
      <c r="F168" s="235">
        <f t="shared" si="5"/>
        <v>19.96</v>
      </c>
      <c r="G168" s="162">
        <v>34357</v>
      </c>
      <c r="H168" s="257" t="s">
        <v>599</v>
      </c>
    </row>
    <row r="169" spans="1:8" x14ac:dyDescent="0.2">
      <c r="A169" s="231" t="s">
        <v>823</v>
      </c>
      <c r="B169" s="258" t="s">
        <v>824</v>
      </c>
      <c r="C169" s="162" t="s">
        <v>494</v>
      </c>
      <c r="D169" s="233">
        <v>4</v>
      </c>
      <c r="E169" s="234">
        <v>15.22</v>
      </c>
      <c r="F169" s="235">
        <f t="shared" si="5"/>
        <v>60.88</v>
      </c>
      <c r="G169" s="162" t="s">
        <v>24</v>
      </c>
      <c r="H169" s="257" t="s">
        <v>604</v>
      </c>
    </row>
    <row r="170" spans="1:8" x14ac:dyDescent="0.2">
      <c r="A170" s="231" t="s">
        <v>825</v>
      </c>
      <c r="B170" s="232" t="s">
        <v>826</v>
      </c>
      <c r="C170" s="162" t="s">
        <v>803</v>
      </c>
      <c r="D170" s="233">
        <v>1</v>
      </c>
      <c r="E170" s="234">
        <v>34.119999999999997</v>
      </c>
      <c r="F170" s="235">
        <f t="shared" si="5"/>
        <v>34.119999999999997</v>
      </c>
      <c r="G170" s="162">
        <v>7353</v>
      </c>
      <c r="H170" s="257" t="s">
        <v>599</v>
      </c>
    </row>
    <row r="171" spans="1:8" x14ac:dyDescent="0.2">
      <c r="A171" s="231" t="s">
        <v>827</v>
      </c>
      <c r="B171" s="232" t="s">
        <v>828</v>
      </c>
      <c r="C171" s="162" t="s">
        <v>803</v>
      </c>
      <c r="D171" s="233">
        <v>2</v>
      </c>
      <c r="E171" s="234">
        <v>19.78</v>
      </c>
      <c r="F171" s="235">
        <f t="shared" si="5"/>
        <v>39.56</v>
      </c>
      <c r="G171" s="162">
        <v>5318</v>
      </c>
      <c r="H171" s="257" t="s">
        <v>599</v>
      </c>
    </row>
    <row r="172" spans="1:8" x14ac:dyDescent="0.2">
      <c r="A172" s="231" t="s">
        <v>829</v>
      </c>
      <c r="B172" s="232" t="s">
        <v>830</v>
      </c>
      <c r="C172" s="162" t="s">
        <v>803</v>
      </c>
      <c r="D172" s="233">
        <v>120</v>
      </c>
      <c r="E172" s="234">
        <v>30.79</v>
      </c>
      <c r="F172" s="235">
        <f t="shared" si="5"/>
        <v>3694.7999999999997</v>
      </c>
      <c r="G172" s="162">
        <v>7356</v>
      </c>
      <c r="H172" s="257" t="s">
        <v>599</v>
      </c>
    </row>
    <row r="173" spans="1:8" x14ac:dyDescent="0.2">
      <c r="A173" s="231" t="s">
        <v>831</v>
      </c>
      <c r="B173" s="232" t="s">
        <v>832</v>
      </c>
      <c r="C173" s="162" t="s">
        <v>803</v>
      </c>
      <c r="D173" s="233">
        <v>8</v>
      </c>
      <c r="E173" s="234">
        <v>41.89</v>
      </c>
      <c r="F173" s="235">
        <f t="shared" si="5"/>
        <v>335.12</v>
      </c>
      <c r="G173" s="162">
        <v>7311</v>
      </c>
      <c r="H173" s="257" t="s">
        <v>599</v>
      </c>
    </row>
    <row r="174" spans="1:8" x14ac:dyDescent="0.2">
      <c r="A174" s="231" t="s">
        <v>833</v>
      </c>
      <c r="B174" s="232" t="s">
        <v>834</v>
      </c>
      <c r="C174" s="162" t="s">
        <v>803</v>
      </c>
      <c r="D174" s="233">
        <v>8</v>
      </c>
      <c r="E174" s="234">
        <v>41.12</v>
      </c>
      <c r="F174" s="261">
        <f t="shared" si="5"/>
        <v>328.96</v>
      </c>
      <c r="G174" s="262">
        <v>7288</v>
      </c>
      <c r="H174" s="263" t="s">
        <v>599</v>
      </c>
    </row>
    <row r="175" spans="1:8" x14ac:dyDescent="0.2">
      <c r="A175" s="382" t="s">
        <v>835</v>
      </c>
      <c r="B175" s="383"/>
      <c r="C175" s="383"/>
      <c r="D175" s="383"/>
      <c r="E175" s="391"/>
      <c r="F175" s="273">
        <f>SUM(F162:F174)</f>
        <v>4722.57</v>
      </c>
      <c r="G175" s="267"/>
      <c r="H175" s="268"/>
    </row>
    <row r="176" spans="1:8" x14ac:dyDescent="0.2">
      <c r="A176" s="227" t="s">
        <v>836</v>
      </c>
      <c r="B176" s="228" t="s">
        <v>837</v>
      </c>
      <c r="C176" s="228"/>
      <c r="D176" s="228"/>
      <c r="E176" s="270"/>
      <c r="F176" s="274"/>
      <c r="G176" s="228"/>
      <c r="H176" s="162"/>
    </row>
    <row r="177" spans="1:8" x14ac:dyDescent="0.2">
      <c r="A177" s="231" t="s">
        <v>838</v>
      </c>
      <c r="B177" s="232" t="s">
        <v>839</v>
      </c>
      <c r="C177" s="162" t="s">
        <v>840</v>
      </c>
      <c r="D177" s="233">
        <v>6</v>
      </c>
      <c r="E177" s="234">
        <v>112.18</v>
      </c>
      <c r="F177" s="264">
        <f t="shared" ref="F177:F200" si="6">D177*E177</f>
        <v>673.08</v>
      </c>
      <c r="G177" s="265" t="s">
        <v>24</v>
      </c>
      <c r="H177" s="266" t="s">
        <v>604</v>
      </c>
    </row>
    <row r="178" spans="1:8" x14ac:dyDescent="0.2">
      <c r="A178" s="231" t="s">
        <v>841</v>
      </c>
      <c r="B178" s="232" t="s">
        <v>842</v>
      </c>
      <c r="C178" s="162" t="s">
        <v>498</v>
      </c>
      <c r="D178" s="233">
        <v>1</v>
      </c>
      <c r="E178" s="234">
        <v>1179.9000000000001</v>
      </c>
      <c r="F178" s="235">
        <f t="shared" si="6"/>
        <v>1179.9000000000001</v>
      </c>
      <c r="G178" s="162" t="s">
        <v>24</v>
      </c>
      <c r="H178" s="257" t="s">
        <v>604</v>
      </c>
    </row>
    <row r="179" spans="1:8" x14ac:dyDescent="0.2">
      <c r="A179" s="231" t="s">
        <v>843</v>
      </c>
      <c r="B179" s="232" t="s">
        <v>844</v>
      </c>
      <c r="C179" s="162" t="s">
        <v>498</v>
      </c>
      <c r="D179" s="233">
        <v>1</v>
      </c>
      <c r="E179" s="234">
        <v>3663.1</v>
      </c>
      <c r="F179" s="235">
        <f t="shared" si="6"/>
        <v>3663.1</v>
      </c>
      <c r="G179" s="162" t="s">
        <v>24</v>
      </c>
      <c r="H179" s="257" t="s">
        <v>604</v>
      </c>
    </row>
    <row r="180" spans="1:8" x14ac:dyDescent="0.2">
      <c r="A180" s="231" t="s">
        <v>845</v>
      </c>
      <c r="B180" s="232" t="s">
        <v>846</v>
      </c>
      <c r="C180" s="162" t="s">
        <v>498</v>
      </c>
      <c r="D180" s="233">
        <v>1</v>
      </c>
      <c r="E180" s="234">
        <v>8316.02</v>
      </c>
      <c r="F180" s="235">
        <f t="shared" si="6"/>
        <v>8316.02</v>
      </c>
      <c r="G180" s="162" t="s">
        <v>24</v>
      </c>
      <c r="H180" s="257" t="s">
        <v>604</v>
      </c>
    </row>
    <row r="181" spans="1:8" x14ac:dyDescent="0.2">
      <c r="A181" s="231" t="s">
        <v>847</v>
      </c>
      <c r="B181" s="232" t="s">
        <v>848</v>
      </c>
      <c r="C181" s="162" t="s">
        <v>498</v>
      </c>
      <c r="D181" s="233">
        <v>1</v>
      </c>
      <c r="E181" s="234">
        <v>3338.61</v>
      </c>
      <c r="F181" s="235">
        <f t="shared" si="6"/>
        <v>3338.61</v>
      </c>
      <c r="G181" s="162" t="s">
        <v>24</v>
      </c>
      <c r="H181" s="257" t="s">
        <v>604</v>
      </c>
    </row>
    <row r="182" spans="1:8" x14ac:dyDescent="0.2">
      <c r="A182" s="231" t="s">
        <v>849</v>
      </c>
      <c r="B182" s="232" t="s">
        <v>850</v>
      </c>
      <c r="C182" s="162" t="s">
        <v>840</v>
      </c>
      <c r="D182" s="233">
        <v>4</v>
      </c>
      <c r="E182" s="234">
        <v>115.79</v>
      </c>
      <c r="F182" s="235">
        <f t="shared" si="6"/>
        <v>463.16</v>
      </c>
      <c r="G182" s="162" t="s">
        <v>24</v>
      </c>
      <c r="H182" s="257" t="s">
        <v>604</v>
      </c>
    </row>
    <row r="183" spans="1:8" x14ac:dyDescent="0.2">
      <c r="A183" s="231" t="s">
        <v>851</v>
      </c>
      <c r="B183" s="232" t="s">
        <v>852</v>
      </c>
      <c r="C183" s="162" t="s">
        <v>498</v>
      </c>
      <c r="D183" s="233">
        <v>2</v>
      </c>
      <c r="E183" s="234">
        <v>151.6</v>
      </c>
      <c r="F183" s="235">
        <f t="shared" si="6"/>
        <v>303.2</v>
      </c>
      <c r="G183" s="162" t="s">
        <v>24</v>
      </c>
      <c r="H183" s="257" t="s">
        <v>604</v>
      </c>
    </row>
    <row r="184" spans="1:8" x14ac:dyDescent="0.2">
      <c r="A184" s="231" t="s">
        <v>853</v>
      </c>
      <c r="B184" s="232" t="s">
        <v>854</v>
      </c>
      <c r="C184" s="162" t="s">
        <v>498</v>
      </c>
      <c r="D184" s="233">
        <v>2</v>
      </c>
      <c r="E184" s="234">
        <v>781.28</v>
      </c>
      <c r="F184" s="235">
        <f t="shared" si="6"/>
        <v>1562.56</v>
      </c>
      <c r="G184" s="162" t="s">
        <v>24</v>
      </c>
      <c r="H184" s="257" t="s">
        <v>604</v>
      </c>
    </row>
    <row r="185" spans="1:8" x14ac:dyDescent="0.2">
      <c r="A185" s="231" t="s">
        <v>855</v>
      </c>
      <c r="B185" s="232" t="s">
        <v>856</v>
      </c>
      <c r="C185" s="162" t="s">
        <v>857</v>
      </c>
      <c r="D185" s="233">
        <v>2</v>
      </c>
      <c r="E185" s="234">
        <v>1361.85</v>
      </c>
      <c r="F185" s="235">
        <f t="shared" si="6"/>
        <v>2723.7</v>
      </c>
      <c r="G185" s="162" t="s">
        <v>24</v>
      </c>
      <c r="H185" s="257" t="s">
        <v>604</v>
      </c>
    </row>
    <row r="186" spans="1:8" x14ac:dyDescent="0.2">
      <c r="A186" s="231" t="s">
        <v>858</v>
      </c>
      <c r="B186" s="232" t="s">
        <v>859</v>
      </c>
      <c r="C186" s="162" t="s">
        <v>857</v>
      </c>
      <c r="D186" s="233">
        <v>2</v>
      </c>
      <c r="E186" s="234">
        <v>979.69</v>
      </c>
      <c r="F186" s="235">
        <f t="shared" si="6"/>
        <v>1959.38</v>
      </c>
      <c r="G186" s="162" t="s">
        <v>24</v>
      </c>
      <c r="H186" s="257" t="s">
        <v>604</v>
      </c>
    </row>
    <row r="187" spans="1:8" x14ac:dyDescent="0.2">
      <c r="A187" s="231" t="s">
        <v>860</v>
      </c>
      <c r="B187" s="232" t="s">
        <v>861</v>
      </c>
      <c r="C187" s="162" t="s">
        <v>862</v>
      </c>
      <c r="D187" s="233">
        <v>1</v>
      </c>
      <c r="E187" s="234">
        <v>119.74</v>
      </c>
      <c r="F187" s="235">
        <f t="shared" si="6"/>
        <v>119.74</v>
      </c>
      <c r="G187" s="162" t="s">
        <v>24</v>
      </c>
      <c r="H187" s="257" t="s">
        <v>604</v>
      </c>
    </row>
    <row r="188" spans="1:8" x14ac:dyDescent="0.2">
      <c r="A188" s="231" t="s">
        <v>863</v>
      </c>
      <c r="B188" s="232" t="s">
        <v>864</v>
      </c>
      <c r="C188" s="162" t="s">
        <v>865</v>
      </c>
      <c r="D188" s="233">
        <v>4</v>
      </c>
      <c r="E188" s="234">
        <v>624.15</v>
      </c>
      <c r="F188" s="235">
        <f t="shared" si="6"/>
        <v>2496.6</v>
      </c>
      <c r="G188" s="162" t="s">
        <v>24</v>
      </c>
      <c r="H188" s="257" t="s">
        <v>604</v>
      </c>
    </row>
    <row r="189" spans="1:8" x14ac:dyDescent="0.2">
      <c r="A189" s="231" t="s">
        <v>866</v>
      </c>
      <c r="B189" s="232" t="s">
        <v>867</v>
      </c>
      <c r="C189" s="162" t="s">
        <v>868</v>
      </c>
      <c r="D189" s="233">
        <v>4</v>
      </c>
      <c r="E189" s="234">
        <v>77.069999999999993</v>
      </c>
      <c r="F189" s="235">
        <f t="shared" si="6"/>
        <v>308.27999999999997</v>
      </c>
      <c r="G189" s="162" t="s">
        <v>24</v>
      </c>
      <c r="H189" s="257" t="s">
        <v>604</v>
      </c>
    </row>
    <row r="190" spans="1:8" x14ac:dyDescent="0.2">
      <c r="A190" s="231" t="s">
        <v>869</v>
      </c>
      <c r="B190" s="232" t="s">
        <v>870</v>
      </c>
      <c r="C190" s="162" t="s">
        <v>498</v>
      </c>
      <c r="D190" s="233">
        <v>2</v>
      </c>
      <c r="E190" s="234">
        <v>192</v>
      </c>
      <c r="F190" s="235">
        <f t="shared" si="6"/>
        <v>384</v>
      </c>
      <c r="G190" s="162" t="s">
        <v>24</v>
      </c>
      <c r="H190" s="257" t="s">
        <v>604</v>
      </c>
    </row>
    <row r="191" spans="1:8" x14ac:dyDescent="0.2">
      <c r="A191" s="231" t="s">
        <v>871</v>
      </c>
      <c r="B191" s="232" t="s">
        <v>872</v>
      </c>
      <c r="C191" s="162" t="s">
        <v>498</v>
      </c>
      <c r="D191" s="233">
        <v>1</v>
      </c>
      <c r="E191" s="234">
        <v>582.12</v>
      </c>
      <c r="F191" s="235">
        <f t="shared" si="6"/>
        <v>582.12</v>
      </c>
      <c r="G191" s="162" t="s">
        <v>24</v>
      </c>
      <c r="H191" s="257" t="s">
        <v>604</v>
      </c>
    </row>
    <row r="192" spans="1:8" x14ac:dyDescent="0.2">
      <c r="A192" s="231" t="s">
        <v>873</v>
      </c>
      <c r="B192" s="232" t="s">
        <v>874</v>
      </c>
      <c r="C192" s="162" t="s">
        <v>498</v>
      </c>
      <c r="D192" s="233">
        <v>1</v>
      </c>
      <c r="E192" s="234">
        <v>701.47</v>
      </c>
      <c r="F192" s="235">
        <f t="shared" si="6"/>
        <v>701.47</v>
      </c>
      <c r="G192" s="162" t="s">
        <v>24</v>
      </c>
      <c r="H192" s="257" t="s">
        <v>604</v>
      </c>
    </row>
    <row r="193" spans="1:8" x14ac:dyDescent="0.2">
      <c r="A193" s="231" t="s">
        <v>875</v>
      </c>
      <c r="B193" s="232" t="s">
        <v>876</v>
      </c>
      <c r="C193" s="162" t="s">
        <v>498</v>
      </c>
      <c r="D193" s="233">
        <v>1</v>
      </c>
      <c r="E193" s="234">
        <v>133.76</v>
      </c>
      <c r="F193" s="235">
        <f t="shared" si="6"/>
        <v>133.76</v>
      </c>
      <c r="G193" s="162" t="s">
        <v>24</v>
      </c>
      <c r="H193" s="257" t="s">
        <v>604</v>
      </c>
    </row>
    <row r="194" spans="1:8" x14ac:dyDescent="0.2">
      <c r="A194" s="231" t="s">
        <v>877</v>
      </c>
      <c r="B194" s="232" t="s">
        <v>878</v>
      </c>
      <c r="C194" s="162" t="s">
        <v>498</v>
      </c>
      <c r="D194" s="233">
        <v>1</v>
      </c>
      <c r="E194" s="234">
        <v>28.49</v>
      </c>
      <c r="F194" s="235">
        <f t="shared" si="6"/>
        <v>28.49</v>
      </c>
      <c r="G194" s="162" t="s">
        <v>24</v>
      </c>
      <c r="H194" s="257" t="s">
        <v>604</v>
      </c>
    </row>
    <row r="195" spans="1:8" x14ac:dyDescent="0.2">
      <c r="A195" s="231" t="s">
        <v>879</v>
      </c>
      <c r="B195" s="232" t="s">
        <v>880</v>
      </c>
      <c r="C195" s="162" t="s">
        <v>512</v>
      </c>
      <c r="D195" s="233">
        <v>4</v>
      </c>
      <c r="E195" s="234">
        <v>30.84</v>
      </c>
      <c r="F195" s="235">
        <f t="shared" si="6"/>
        <v>123.36</v>
      </c>
      <c r="G195" s="162" t="s">
        <v>24</v>
      </c>
      <c r="H195" s="257" t="s">
        <v>604</v>
      </c>
    </row>
    <row r="196" spans="1:8" x14ac:dyDescent="0.2">
      <c r="A196" s="231" t="s">
        <v>881</v>
      </c>
      <c r="B196" s="232" t="s">
        <v>882</v>
      </c>
      <c r="C196" s="162" t="s">
        <v>512</v>
      </c>
      <c r="D196" s="233">
        <v>4</v>
      </c>
      <c r="E196" s="234">
        <v>47.93</v>
      </c>
      <c r="F196" s="235">
        <f t="shared" si="6"/>
        <v>191.72</v>
      </c>
      <c r="G196" s="162" t="s">
        <v>24</v>
      </c>
      <c r="H196" s="257" t="s">
        <v>604</v>
      </c>
    </row>
    <row r="197" spans="1:8" x14ac:dyDescent="0.2">
      <c r="A197" s="231" t="s">
        <v>883</v>
      </c>
      <c r="B197" s="232" t="s">
        <v>884</v>
      </c>
      <c r="C197" s="162" t="s">
        <v>512</v>
      </c>
      <c r="D197" s="233">
        <v>4</v>
      </c>
      <c r="E197" s="234">
        <v>15.95</v>
      </c>
      <c r="F197" s="235">
        <f t="shared" si="6"/>
        <v>63.8</v>
      </c>
      <c r="G197" s="162" t="s">
        <v>24</v>
      </c>
      <c r="H197" s="257" t="s">
        <v>604</v>
      </c>
    </row>
    <row r="198" spans="1:8" x14ac:dyDescent="0.2">
      <c r="A198" s="231" t="s">
        <v>885</v>
      </c>
      <c r="B198" s="232" t="s">
        <v>886</v>
      </c>
      <c r="C198" s="162" t="s">
        <v>512</v>
      </c>
      <c r="D198" s="233">
        <v>4</v>
      </c>
      <c r="E198" s="234">
        <v>53.21</v>
      </c>
      <c r="F198" s="235">
        <f t="shared" si="6"/>
        <v>212.84</v>
      </c>
      <c r="G198" s="162" t="s">
        <v>24</v>
      </c>
      <c r="H198" s="257" t="s">
        <v>604</v>
      </c>
    </row>
    <row r="199" spans="1:8" x14ac:dyDescent="0.2">
      <c r="A199" s="231" t="s">
        <v>887</v>
      </c>
      <c r="B199" s="232" t="s">
        <v>888</v>
      </c>
      <c r="C199" s="162" t="s">
        <v>512</v>
      </c>
      <c r="D199" s="233">
        <v>4</v>
      </c>
      <c r="E199" s="234">
        <v>25.22</v>
      </c>
      <c r="F199" s="235">
        <f t="shared" si="6"/>
        <v>100.88</v>
      </c>
      <c r="G199" s="162" t="s">
        <v>24</v>
      </c>
      <c r="H199" s="257" t="s">
        <v>604</v>
      </c>
    </row>
    <row r="200" spans="1:8" x14ac:dyDescent="0.2">
      <c r="A200" s="231" t="s">
        <v>889</v>
      </c>
      <c r="B200" s="232" t="s">
        <v>890</v>
      </c>
      <c r="C200" s="162" t="s">
        <v>494</v>
      </c>
      <c r="D200" s="233">
        <v>1</v>
      </c>
      <c r="E200" s="234">
        <v>160.69999999999999</v>
      </c>
      <c r="F200" s="235">
        <f t="shared" si="6"/>
        <v>160.69999999999999</v>
      </c>
      <c r="G200" s="162" t="s">
        <v>24</v>
      </c>
      <c r="H200" s="257" t="s">
        <v>604</v>
      </c>
    </row>
    <row r="201" spans="1:8" x14ac:dyDescent="0.2">
      <c r="A201" s="382" t="s">
        <v>891</v>
      </c>
      <c r="B201" s="383"/>
      <c r="C201" s="383"/>
      <c r="D201" s="383"/>
      <c r="E201" s="383"/>
      <c r="F201" s="236">
        <f>SUM(F177:F200)</f>
        <v>29790.470000000005</v>
      </c>
      <c r="G201" s="116"/>
      <c r="H201" s="237"/>
    </row>
    <row r="202" spans="1:8" x14ac:dyDescent="0.2">
      <c r="A202" s="227">
        <v>7</v>
      </c>
      <c r="B202" s="228" t="s">
        <v>892</v>
      </c>
      <c r="C202" s="228"/>
      <c r="D202" s="228"/>
      <c r="E202" s="229"/>
      <c r="F202" s="228"/>
      <c r="G202" s="171"/>
      <c r="H202" s="230"/>
    </row>
    <row r="203" spans="1:8" x14ac:dyDescent="0.2">
      <c r="A203" s="231" t="s">
        <v>893</v>
      </c>
      <c r="B203" s="232" t="s">
        <v>894</v>
      </c>
      <c r="C203" s="162" t="s">
        <v>498</v>
      </c>
      <c r="D203" s="233">
        <v>1</v>
      </c>
      <c r="E203" s="234">
        <v>200.37</v>
      </c>
      <c r="F203" s="235">
        <f>D203*E203</f>
        <v>200.37</v>
      </c>
      <c r="G203" s="162">
        <v>10886</v>
      </c>
      <c r="H203" s="181" t="s">
        <v>599</v>
      </c>
    </row>
    <row r="204" spans="1:8" x14ac:dyDescent="0.2">
      <c r="A204" s="231" t="s">
        <v>895</v>
      </c>
      <c r="B204" s="232" t="s">
        <v>896</v>
      </c>
      <c r="C204" s="162" t="s">
        <v>498</v>
      </c>
      <c r="D204" s="233">
        <v>1</v>
      </c>
      <c r="E204" s="234">
        <v>687</v>
      </c>
      <c r="F204" s="235">
        <f>D204*E204</f>
        <v>687</v>
      </c>
      <c r="G204" s="162">
        <v>10889</v>
      </c>
      <c r="H204" s="181" t="s">
        <v>599</v>
      </c>
    </row>
    <row r="205" spans="1:8" x14ac:dyDescent="0.2">
      <c r="A205" s="231" t="s">
        <v>897</v>
      </c>
      <c r="B205" s="232" t="s">
        <v>898</v>
      </c>
      <c r="C205" s="162" t="s">
        <v>498</v>
      </c>
      <c r="D205" s="233">
        <v>1</v>
      </c>
      <c r="E205" s="234">
        <v>193.76</v>
      </c>
      <c r="F205" s="235">
        <f>D205*E205</f>
        <v>193.76</v>
      </c>
      <c r="G205" s="162">
        <v>10891</v>
      </c>
      <c r="H205" s="181" t="s">
        <v>599</v>
      </c>
    </row>
    <row r="206" spans="1:8" ht="22.5" x14ac:dyDescent="0.2">
      <c r="A206" s="231" t="s">
        <v>899</v>
      </c>
      <c r="B206" s="232" t="s">
        <v>900</v>
      </c>
      <c r="C206" s="162" t="s">
        <v>498</v>
      </c>
      <c r="D206" s="233">
        <v>1</v>
      </c>
      <c r="E206" s="234">
        <v>20.32</v>
      </c>
      <c r="F206" s="235">
        <f>D206*E206</f>
        <v>20.32</v>
      </c>
      <c r="G206" s="162">
        <v>37539</v>
      </c>
      <c r="H206" s="181" t="s">
        <v>599</v>
      </c>
    </row>
    <row r="207" spans="1:8" ht="12" thickBot="1" x14ac:dyDescent="0.25">
      <c r="A207" s="384" t="s">
        <v>901</v>
      </c>
      <c r="B207" s="385"/>
      <c r="C207" s="385"/>
      <c r="D207" s="385"/>
      <c r="E207" s="385"/>
      <c r="F207" s="239">
        <f>SUM(F203:F206)</f>
        <v>1101.45</v>
      </c>
      <c r="G207" s="240"/>
      <c r="H207" s="241"/>
    </row>
    <row r="208" spans="1:8" ht="12" thickBot="1" x14ac:dyDescent="0.25">
      <c r="A208" s="386" t="s">
        <v>902</v>
      </c>
      <c r="B208" s="387"/>
      <c r="C208" s="387"/>
      <c r="D208" s="387"/>
      <c r="E208" s="388"/>
      <c r="F208" s="115">
        <f>SUM(F52+F134+F155+F160+F175+F201+F207)</f>
        <v>66379.039999999994</v>
      </c>
      <c r="G208" s="116"/>
      <c r="H208" s="117"/>
    </row>
    <row r="209" spans="1:8" ht="15.75" customHeight="1" x14ac:dyDescent="0.2">
      <c r="A209" s="118"/>
      <c r="B209" s="119"/>
      <c r="C209" s="119"/>
      <c r="D209" s="119"/>
      <c r="E209" s="120"/>
      <c r="F209" s="119"/>
      <c r="G209" s="121"/>
      <c r="H209" s="122"/>
    </row>
    <row r="210" spans="1:8" ht="15.75" customHeight="1" x14ac:dyDescent="0.2">
      <c r="A210" s="242"/>
      <c r="B210" s="243"/>
      <c r="C210" s="243"/>
      <c r="D210" s="243"/>
      <c r="E210" s="389" t="s">
        <v>903</v>
      </c>
      <c r="F210" s="389"/>
      <c r="G210" s="389"/>
      <c r="H210" s="244">
        <f>BDI!I22</f>
        <v>0.18348853695258383</v>
      </c>
    </row>
    <row r="211" spans="1:8" ht="15" customHeight="1" x14ac:dyDescent="0.2">
      <c r="A211" s="242"/>
      <c r="B211" s="245"/>
      <c r="C211" s="245"/>
      <c r="D211" s="245"/>
      <c r="E211" s="389" t="s">
        <v>904</v>
      </c>
      <c r="F211" s="389"/>
      <c r="G211" s="389"/>
      <c r="H211" s="246">
        <f>TRUNC(F208*(1+H210),2)</f>
        <v>78558.83</v>
      </c>
    </row>
    <row r="212" spans="1:8" ht="15" customHeight="1" thickBot="1" x14ac:dyDescent="0.25">
      <c r="A212" s="247"/>
      <c r="B212" s="248"/>
      <c r="C212" s="248"/>
      <c r="D212" s="248"/>
      <c r="E212" s="390" t="s">
        <v>905</v>
      </c>
      <c r="F212" s="390"/>
      <c r="G212" s="390"/>
      <c r="H212" s="249">
        <f>TRUNC(H211/12,2)</f>
        <v>6546.56</v>
      </c>
    </row>
    <row r="213" spans="1:8" ht="15" customHeight="1" thickBot="1" x14ac:dyDescent="0.25">
      <c r="A213" s="247"/>
      <c r="B213" s="248"/>
      <c r="C213" s="248"/>
      <c r="D213" s="248"/>
      <c r="E213" s="381" t="s">
        <v>906</v>
      </c>
      <c r="F213" s="381"/>
      <c r="G213" s="381"/>
      <c r="H213" s="249">
        <f>H212*20</f>
        <v>130931.20000000001</v>
      </c>
    </row>
    <row r="214" spans="1:8" ht="15.75" customHeight="1" x14ac:dyDescent="0.2">
      <c r="A214" s="123" t="s">
        <v>907</v>
      </c>
      <c r="B214" s="124" t="s">
        <v>908</v>
      </c>
    </row>
    <row r="215" spans="1:8" ht="15.75" customHeight="1" x14ac:dyDescent="0.2"/>
  </sheetData>
  <sortState xmlns:xlrd2="http://schemas.microsoft.com/office/spreadsheetml/2017/richdata2" ref="B203:G206">
    <sortCondition ref="B203:B206"/>
  </sortState>
  <mergeCells count="13">
    <mergeCell ref="A175:E175"/>
    <mergeCell ref="A1:H1"/>
    <mergeCell ref="A52:E52"/>
    <mergeCell ref="A134:E134"/>
    <mergeCell ref="A155:E155"/>
    <mergeCell ref="A160:E160"/>
    <mergeCell ref="E213:G213"/>
    <mergeCell ref="A201:E201"/>
    <mergeCell ref="A207:E207"/>
    <mergeCell ref="A208:E208"/>
    <mergeCell ref="E210:G210"/>
    <mergeCell ref="E211:G211"/>
    <mergeCell ref="E212:G212"/>
  </mergeCells>
  <conditionalFormatting sqref="B1:B50 B52:B208">
    <cfRule type="expression" dxfId="3" priority="58">
      <formula>$G1=""</formula>
    </cfRule>
  </conditionalFormatting>
  <conditionalFormatting sqref="G207:G208 G1:G3">
    <cfRule type="duplicateValues" dxfId="2" priority="66"/>
    <cfRule type="duplicateValues" dxfId="1" priority="100"/>
  </conditionalFormatting>
  <conditionalFormatting sqref="G207:G1048576 G1:G3">
    <cfRule type="duplicateValues" dxfId="0" priority="107"/>
  </conditionalFormatting>
  <pageMargins left="0.51181102362204722" right="0.51181102362204722" top="0.78740157480314965" bottom="0.78740157480314965" header="0.31496062992125984" footer="0.31496062992125984"/>
  <pageSetup paperSize="9" scale="76" fitToHeight="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13148-6706-4C52-BC85-733462A1B58B}">
  <sheetPr>
    <pageSetUpPr fitToPage="1"/>
  </sheetPr>
  <dimension ref="A1:L42"/>
  <sheetViews>
    <sheetView showGridLines="0" topLeftCell="A6" zoomScale="80" zoomScaleNormal="80" workbookViewId="0">
      <selection activeCell="D39" sqref="D39"/>
    </sheetView>
  </sheetViews>
  <sheetFormatPr defaultRowHeight="15" x14ac:dyDescent="0.25"/>
  <cols>
    <col min="1" max="1" width="4.5703125" style="132" customWidth="1"/>
    <col min="2" max="2" width="73.140625" style="132" customWidth="1"/>
    <col min="3" max="3" width="9" style="133" customWidth="1"/>
    <col min="4" max="4" width="7.140625" style="134" customWidth="1"/>
    <col min="5" max="5" width="17" style="135" customWidth="1"/>
    <col min="6" max="6" width="8.5703125" style="135"/>
    <col min="7" max="7" width="15.42578125" style="134" hidden="1" customWidth="1"/>
    <col min="8" max="8" width="18.42578125" style="134" hidden="1" customWidth="1"/>
    <col min="9" max="9" width="9" style="136" customWidth="1"/>
    <col min="10" max="10" width="15.5703125" style="137" customWidth="1"/>
    <col min="12" max="12" width="12.5703125" bestFit="1" customWidth="1"/>
  </cols>
  <sheetData>
    <row r="1" spans="1:12" ht="26.25" x14ac:dyDescent="0.25">
      <c r="A1" s="399" t="s">
        <v>909</v>
      </c>
      <c r="B1" s="399"/>
      <c r="C1" s="399"/>
      <c r="D1" s="399"/>
      <c r="E1" s="399"/>
      <c r="F1" s="399"/>
      <c r="G1" s="399"/>
      <c r="H1" s="399"/>
      <c r="I1" s="399"/>
      <c r="J1" s="399"/>
    </row>
    <row r="2" spans="1:12" x14ac:dyDescent="0.25">
      <c r="A2" s="400" t="s">
        <v>130</v>
      </c>
      <c r="B2" s="401" t="s">
        <v>131</v>
      </c>
      <c r="C2" s="401" t="s">
        <v>484</v>
      </c>
      <c r="D2" s="401" t="s">
        <v>910</v>
      </c>
      <c r="E2" s="402" t="s">
        <v>911</v>
      </c>
      <c r="F2" s="402"/>
      <c r="G2" s="403" t="s">
        <v>912</v>
      </c>
      <c r="H2" s="403"/>
      <c r="I2" s="400" t="s">
        <v>488</v>
      </c>
      <c r="J2" s="400" t="s">
        <v>913</v>
      </c>
    </row>
    <row r="3" spans="1:12" x14ac:dyDescent="0.25">
      <c r="A3" s="400"/>
      <c r="B3" s="401"/>
      <c r="C3" s="401"/>
      <c r="D3" s="401"/>
      <c r="E3" s="250" t="s">
        <v>914</v>
      </c>
      <c r="F3" s="250" t="s">
        <v>365</v>
      </c>
      <c r="G3" s="251" t="s">
        <v>914</v>
      </c>
      <c r="H3" s="252" t="s">
        <v>915</v>
      </c>
      <c r="I3" s="400"/>
      <c r="J3" s="400"/>
    </row>
    <row r="4" spans="1:12" x14ac:dyDescent="0.25">
      <c r="A4" s="172">
        <v>1</v>
      </c>
      <c r="B4" s="172" t="s">
        <v>916</v>
      </c>
      <c r="C4" s="173" t="s">
        <v>917</v>
      </c>
      <c r="D4" s="173">
        <v>2000</v>
      </c>
      <c r="E4" s="174">
        <v>14.14</v>
      </c>
      <c r="F4" s="174">
        <f>E4*D4</f>
        <v>28280</v>
      </c>
      <c r="G4" s="173"/>
      <c r="H4" s="173"/>
      <c r="I4" s="173">
        <v>88489</v>
      </c>
      <c r="J4" s="173" t="s">
        <v>495</v>
      </c>
      <c r="K4" s="138"/>
      <c r="L4" s="138"/>
    </row>
    <row r="5" spans="1:12" x14ac:dyDescent="0.25">
      <c r="A5" s="172">
        <v>2</v>
      </c>
      <c r="B5" s="172" t="s">
        <v>918</v>
      </c>
      <c r="C5" s="173" t="s">
        <v>917</v>
      </c>
      <c r="D5" s="173">
        <f>180*3+170*2</f>
        <v>880</v>
      </c>
      <c r="E5" s="174">
        <v>17.28</v>
      </c>
      <c r="F5" s="174">
        <f t="shared" ref="F5:F23" si="0">E5*D5</f>
        <v>15206.400000000001</v>
      </c>
      <c r="G5" s="173"/>
      <c r="H5" s="173"/>
      <c r="I5" s="173">
        <v>88488</v>
      </c>
      <c r="J5" s="173" t="s">
        <v>495</v>
      </c>
      <c r="K5" s="138"/>
      <c r="L5" s="138"/>
    </row>
    <row r="6" spans="1:12" x14ac:dyDescent="0.25">
      <c r="A6" s="172">
        <v>3</v>
      </c>
      <c r="B6" s="172" t="s">
        <v>919</v>
      </c>
      <c r="C6" s="173" t="s">
        <v>917</v>
      </c>
      <c r="D6" s="173">
        <v>100</v>
      </c>
      <c r="E6" s="174">
        <v>38.51</v>
      </c>
      <c r="F6" s="174">
        <f t="shared" si="0"/>
        <v>3851</v>
      </c>
      <c r="G6" s="173"/>
      <c r="H6" s="173"/>
      <c r="I6" s="173">
        <v>88496</v>
      </c>
      <c r="J6" s="173" t="s">
        <v>495</v>
      </c>
      <c r="K6" s="138"/>
      <c r="L6" s="138"/>
    </row>
    <row r="7" spans="1:12" x14ac:dyDescent="0.25">
      <c r="A7" s="172">
        <v>4</v>
      </c>
      <c r="B7" s="172" t="s">
        <v>920</v>
      </c>
      <c r="C7" s="173" t="s">
        <v>917</v>
      </c>
      <c r="D7" s="173">
        <v>100</v>
      </c>
      <c r="E7" s="174">
        <v>21.28</v>
      </c>
      <c r="F7" s="174">
        <f t="shared" si="0"/>
        <v>2128</v>
      </c>
      <c r="G7" s="173"/>
      <c r="H7" s="173"/>
      <c r="I7" s="173">
        <v>88497</v>
      </c>
      <c r="J7" s="173" t="s">
        <v>495</v>
      </c>
      <c r="K7" s="138"/>
      <c r="L7" s="138"/>
    </row>
    <row r="8" spans="1:12" x14ac:dyDescent="0.25">
      <c r="A8" s="172">
        <v>5</v>
      </c>
      <c r="B8" s="172" t="s">
        <v>921</v>
      </c>
      <c r="C8" s="173" t="s">
        <v>917</v>
      </c>
      <c r="D8" s="173">
        <v>40</v>
      </c>
      <c r="E8" s="174">
        <v>19.07</v>
      </c>
      <c r="F8" s="174">
        <f t="shared" si="0"/>
        <v>762.8</v>
      </c>
      <c r="G8" s="173"/>
      <c r="H8" s="173"/>
      <c r="I8" s="173">
        <v>102218</v>
      </c>
      <c r="J8" s="173" t="s">
        <v>495</v>
      </c>
      <c r="K8" s="138"/>
      <c r="L8" s="138"/>
    </row>
    <row r="9" spans="1:12" x14ac:dyDescent="0.25">
      <c r="A9" s="172">
        <v>6</v>
      </c>
      <c r="B9" s="172" t="s">
        <v>922</v>
      </c>
      <c r="C9" s="173" t="s">
        <v>917</v>
      </c>
      <c r="D9" s="173">
        <v>40</v>
      </c>
      <c r="E9" s="174">
        <v>19.62</v>
      </c>
      <c r="F9" s="174">
        <f t="shared" si="0"/>
        <v>784.80000000000007</v>
      </c>
      <c r="G9" s="173"/>
      <c r="H9" s="173"/>
      <c r="I9" s="173">
        <v>102219</v>
      </c>
      <c r="J9" s="173" t="s">
        <v>495</v>
      </c>
      <c r="K9" s="138"/>
      <c r="L9" s="138"/>
    </row>
    <row r="10" spans="1:12" x14ac:dyDescent="0.25">
      <c r="A10" s="172">
        <v>7</v>
      </c>
      <c r="B10" s="172" t="s">
        <v>923</v>
      </c>
      <c r="C10" s="173" t="s">
        <v>924</v>
      </c>
      <c r="D10" s="173">
        <v>2</v>
      </c>
      <c r="E10" s="174">
        <v>28</v>
      </c>
      <c r="F10" s="174">
        <f t="shared" si="0"/>
        <v>56</v>
      </c>
      <c r="G10" s="173"/>
      <c r="H10" s="173"/>
      <c r="I10" s="173"/>
      <c r="J10" s="173" t="s">
        <v>925</v>
      </c>
      <c r="K10" s="138"/>
      <c r="L10" s="138"/>
    </row>
    <row r="11" spans="1:12" x14ac:dyDescent="0.25">
      <c r="A11" s="172">
        <v>8</v>
      </c>
      <c r="B11" s="172" t="s">
        <v>926</v>
      </c>
      <c r="C11" s="173" t="s">
        <v>924</v>
      </c>
      <c r="D11" s="173">
        <v>2</v>
      </c>
      <c r="E11" s="174">
        <v>102.33</v>
      </c>
      <c r="F11" s="174">
        <f t="shared" si="0"/>
        <v>204.66</v>
      </c>
      <c r="G11" s="173"/>
      <c r="H11" s="173"/>
      <c r="I11" s="173"/>
      <c r="J11" s="173" t="s">
        <v>925</v>
      </c>
      <c r="K11" s="138"/>
      <c r="L11" s="138"/>
    </row>
    <row r="12" spans="1:12" x14ac:dyDescent="0.25">
      <c r="A12" s="172">
        <v>9</v>
      </c>
      <c r="B12" s="172" t="s">
        <v>927</v>
      </c>
      <c r="C12" s="173" t="s">
        <v>924</v>
      </c>
      <c r="D12" s="173">
        <v>1</v>
      </c>
      <c r="E12" s="174">
        <v>23.75</v>
      </c>
      <c r="F12" s="174">
        <f t="shared" si="0"/>
        <v>23.75</v>
      </c>
      <c r="G12" s="173"/>
      <c r="H12" s="173"/>
      <c r="I12" s="173"/>
      <c r="J12" s="173" t="s">
        <v>925</v>
      </c>
      <c r="K12" s="138"/>
      <c r="L12" s="138"/>
    </row>
    <row r="13" spans="1:12" ht="22.5" x14ac:dyDescent="0.25">
      <c r="A13" s="172">
        <v>10</v>
      </c>
      <c r="B13" s="172" t="s">
        <v>928</v>
      </c>
      <c r="C13" s="173" t="s">
        <v>924</v>
      </c>
      <c r="D13" s="173">
        <v>2</v>
      </c>
      <c r="E13" s="174">
        <v>4960</v>
      </c>
      <c r="F13" s="174">
        <f t="shared" si="0"/>
        <v>9920</v>
      </c>
      <c r="G13" s="173"/>
      <c r="H13" s="173" t="s">
        <v>929</v>
      </c>
      <c r="I13" s="173"/>
      <c r="J13" s="173" t="s">
        <v>925</v>
      </c>
      <c r="K13" s="138"/>
      <c r="L13" s="138"/>
    </row>
    <row r="14" spans="1:12" ht="22.5" x14ac:dyDescent="0.25">
      <c r="A14" s="172">
        <v>11</v>
      </c>
      <c r="B14" s="172" t="s">
        <v>930</v>
      </c>
      <c r="C14" s="173" t="s">
        <v>924</v>
      </c>
      <c r="D14" s="173">
        <v>2</v>
      </c>
      <c r="E14" s="174">
        <v>3950</v>
      </c>
      <c r="F14" s="174">
        <f t="shared" si="0"/>
        <v>7900</v>
      </c>
      <c r="G14" s="175"/>
      <c r="H14" s="175"/>
      <c r="I14" s="175"/>
      <c r="J14" s="173" t="s">
        <v>925</v>
      </c>
      <c r="K14" s="176"/>
    </row>
    <row r="15" spans="1:12" ht="20.100000000000001" customHeight="1" x14ac:dyDescent="0.25">
      <c r="A15" s="172">
        <v>12</v>
      </c>
      <c r="B15" s="172" t="s">
        <v>931</v>
      </c>
      <c r="C15" s="173" t="s">
        <v>924</v>
      </c>
      <c r="D15" s="173">
        <v>0.5</v>
      </c>
      <c r="E15" s="174">
        <v>14026.67</v>
      </c>
      <c r="F15" s="174">
        <f t="shared" si="0"/>
        <v>7013.335</v>
      </c>
      <c r="G15" s="173"/>
      <c r="H15" s="173"/>
      <c r="I15" s="173"/>
      <c r="J15" s="173" t="s">
        <v>925</v>
      </c>
      <c r="K15" s="138"/>
      <c r="L15" s="138"/>
    </row>
    <row r="16" spans="1:12" ht="22.5" x14ac:dyDescent="0.25">
      <c r="A16" s="172">
        <v>13</v>
      </c>
      <c r="B16" s="172" t="s">
        <v>932</v>
      </c>
      <c r="C16" s="173" t="s">
        <v>924</v>
      </c>
      <c r="D16" s="173">
        <v>1</v>
      </c>
      <c r="E16" s="174">
        <v>2800</v>
      </c>
      <c r="F16" s="174">
        <f>E16*D16</f>
        <v>2800</v>
      </c>
      <c r="G16" s="175"/>
      <c r="H16" s="175"/>
      <c r="I16" s="175"/>
      <c r="J16" s="173" t="s">
        <v>925</v>
      </c>
      <c r="K16" s="176"/>
    </row>
    <row r="17" spans="1:12" x14ac:dyDescent="0.25">
      <c r="A17" s="172">
        <v>14</v>
      </c>
      <c r="B17" s="172" t="s">
        <v>933</v>
      </c>
      <c r="C17" s="173" t="s">
        <v>917</v>
      </c>
      <c r="D17" s="173">
        <v>20</v>
      </c>
      <c r="E17" s="174">
        <v>88.27</v>
      </c>
      <c r="F17" s="174">
        <f t="shared" si="0"/>
        <v>1765.3999999999999</v>
      </c>
      <c r="G17" s="173"/>
      <c r="H17" s="173"/>
      <c r="I17" s="173">
        <v>96358</v>
      </c>
      <c r="J17" s="173" t="s">
        <v>495</v>
      </c>
      <c r="K17" s="138"/>
      <c r="L17" s="138"/>
    </row>
    <row r="18" spans="1:12" x14ac:dyDescent="0.25">
      <c r="A18" s="172">
        <v>15</v>
      </c>
      <c r="B18" s="172" t="s">
        <v>934</v>
      </c>
      <c r="C18" s="173" t="s">
        <v>917</v>
      </c>
      <c r="D18" s="173">
        <v>20</v>
      </c>
      <c r="E18" s="174">
        <v>98.06</v>
      </c>
      <c r="F18" s="174">
        <f t="shared" si="0"/>
        <v>1961.2</v>
      </c>
      <c r="G18" s="173"/>
      <c r="H18" s="173"/>
      <c r="I18" s="173">
        <v>96359</v>
      </c>
      <c r="J18" s="173" t="s">
        <v>495</v>
      </c>
      <c r="K18" s="138"/>
      <c r="L18" s="138"/>
    </row>
    <row r="19" spans="1:12" x14ac:dyDescent="0.25">
      <c r="A19" s="172">
        <v>16</v>
      </c>
      <c r="B19" s="172" t="s">
        <v>935</v>
      </c>
      <c r="C19" s="173" t="s">
        <v>917</v>
      </c>
      <c r="D19" s="173">
        <v>20</v>
      </c>
      <c r="E19" s="174">
        <v>10.92</v>
      </c>
      <c r="F19" s="174">
        <f t="shared" si="0"/>
        <v>218.4</v>
      </c>
      <c r="G19" s="173"/>
      <c r="H19" s="173"/>
      <c r="I19" s="173">
        <v>97638</v>
      </c>
      <c r="J19" s="173" t="s">
        <v>495</v>
      </c>
      <c r="K19" s="138"/>
      <c r="L19" s="138"/>
    </row>
    <row r="20" spans="1:12" x14ac:dyDescent="0.25">
      <c r="A20" s="172">
        <v>17</v>
      </c>
      <c r="B20" s="172" t="s">
        <v>936</v>
      </c>
      <c r="C20" s="173" t="s">
        <v>937</v>
      </c>
      <c r="D20" s="173">
        <v>1</v>
      </c>
      <c r="E20" s="174">
        <v>1661.74</v>
      </c>
      <c r="F20" s="174">
        <f t="shared" si="0"/>
        <v>1661.74</v>
      </c>
      <c r="G20" s="173"/>
      <c r="H20" s="173"/>
      <c r="I20" s="173"/>
      <c r="J20" s="173" t="s">
        <v>925</v>
      </c>
      <c r="K20" s="138"/>
      <c r="L20" s="138"/>
    </row>
    <row r="21" spans="1:12" x14ac:dyDescent="0.25">
      <c r="A21" s="172">
        <v>18</v>
      </c>
      <c r="B21" s="172" t="s">
        <v>938</v>
      </c>
      <c r="C21" s="173" t="s">
        <v>937</v>
      </c>
      <c r="D21" s="173">
        <v>1</v>
      </c>
      <c r="E21" s="174">
        <v>2179.79</v>
      </c>
      <c r="F21" s="174">
        <f t="shared" si="0"/>
        <v>2179.79</v>
      </c>
      <c r="G21" s="173"/>
      <c r="H21" s="173"/>
      <c r="I21" s="173"/>
      <c r="J21" s="173" t="s">
        <v>925</v>
      </c>
      <c r="K21" s="138"/>
      <c r="L21" s="138"/>
    </row>
    <row r="22" spans="1:12" ht="24.6" customHeight="1" x14ac:dyDescent="0.25">
      <c r="A22" s="172">
        <v>19</v>
      </c>
      <c r="B22" s="172" t="s">
        <v>939</v>
      </c>
      <c r="C22" s="173" t="s">
        <v>940</v>
      </c>
      <c r="D22" s="173">
        <v>5</v>
      </c>
      <c r="E22" s="174">
        <f>31.27+29</f>
        <v>60.269999999999996</v>
      </c>
      <c r="F22" s="174">
        <f t="shared" si="0"/>
        <v>301.34999999999997</v>
      </c>
      <c r="G22" s="173"/>
      <c r="H22" s="173"/>
      <c r="I22" s="173" t="s">
        <v>941</v>
      </c>
      <c r="J22" s="173" t="s">
        <v>495</v>
      </c>
      <c r="K22" s="176"/>
    </row>
    <row r="23" spans="1:12" x14ac:dyDescent="0.25">
      <c r="A23" s="172">
        <v>20</v>
      </c>
      <c r="B23" s="172" t="s">
        <v>942</v>
      </c>
      <c r="C23" s="173" t="s">
        <v>943</v>
      </c>
      <c r="D23" s="173">
        <v>4</v>
      </c>
      <c r="E23" s="174">
        <v>521</v>
      </c>
      <c r="F23" s="174">
        <f t="shared" si="0"/>
        <v>2084</v>
      </c>
      <c r="G23" s="173"/>
      <c r="H23" s="173"/>
      <c r="I23" s="173"/>
      <c r="J23" s="173" t="s">
        <v>925</v>
      </c>
      <c r="K23" s="138"/>
      <c r="L23" s="138"/>
    </row>
    <row r="24" spans="1:12" x14ac:dyDescent="0.25">
      <c r="A24" s="172">
        <v>21</v>
      </c>
      <c r="B24" s="172" t="s">
        <v>944</v>
      </c>
      <c r="C24" s="173" t="s">
        <v>209</v>
      </c>
      <c r="D24" s="173">
        <v>96</v>
      </c>
      <c r="E24" s="174">
        <v>32.24</v>
      </c>
      <c r="F24" s="174">
        <f t="shared" ref="F24:F37" si="1">E24*D24</f>
        <v>3095.04</v>
      </c>
      <c r="G24" s="173"/>
      <c r="H24" s="173"/>
      <c r="I24" s="173">
        <v>88247</v>
      </c>
      <c r="J24" s="173" t="s">
        <v>495</v>
      </c>
      <c r="K24" s="138"/>
      <c r="L24" s="138"/>
    </row>
    <row r="25" spans="1:12" x14ac:dyDescent="0.25">
      <c r="A25" s="172">
        <v>22</v>
      </c>
      <c r="B25" s="172" t="s">
        <v>945</v>
      </c>
      <c r="C25" s="173" t="s">
        <v>209</v>
      </c>
      <c r="D25" s="173">
        <v>384</v>
      </c>
      <c r="E25" s="174">
        <v>30.38</v>
      </c>
      <c r="F25" s="174">
        <f t="shared" si="1"/>
        <v>11665.92</v>
      </c>
      <c r="G25" s="173"/>
      <c r="H25" s="173"/>
      <c r="I25" s="173">
        <v>88250</v>
      </c>
      <c r="J25" s="173" t="s">
        <v>495</v>
      </c>
      <c r="K25" s="138"/>
      <c r="L25" s="138"/>
    </row>
    <row r="26" spans="1:12" x14ac:dyDescent="0.25">
      <c r="A26" s="172">
        <v>23</v>
      </c>
      <c r="B26" s="172" t="s">
        <v>946</v>
      </c>
      <c r="C26" s="173" t="s">
        <v>209</v>
      </c>
      <c r="D26" s="173">
        <v>96</v>
      </c>
      <c r="E26" s="174">
        <v>29.09</v>
      </c>
      <c r="F26" s="174">
        <f t="shared" si="1"/>
        <v>2792.64</v>
      </c>
      <c r="G26" s="173"/>
      <c r="H26" s="173"/>
      <c r="I26" s="173">
        <v>88252</v>
      </c>
      <c r="J26" s="173" t="s">
        <v>495</v>
      </c>
      <c r="K26" s="138"/>
      <c r="L26" s="138"/>
    </row>
    <row r="27" spans="1:12" x14ac:dyDescent="0.25">
      <c r="A27" s="172">
        <v>24</v>
      </c>
      <c r="B27" s="172" t="s">
        <v>947</v>
      </c>
      <c r="C27" s="173" t="s">
        <v>209</v>
      </c>
      <c r="D27" s="173">
        <v>96</v>
      </c>
      <c r="E27" s="174">
        <v>37.369999999999997</v>
      </c>
      <c r="F27" s="174">
        <f t="shared" si="1"/>
        <v>3587.5199999999995</v>
      </c>
      <c r="G27" s="173"/>
      <c r="H27" s="173"/>
      <c r="I27" s="173">
        <v>88267</v>
      </c>
      <c r="J27" s="173" t="s">
        <v>495</v>
      </c>
      <c r="K27" s="138"/>
      <c r="L27" s="138"/>
    </row>
    <row r="28" spans="1:12" x14ac:dyDescent="0.25">
      <c r="A28" s="172">
        <v>25</v>
      </c>
      <c r="B28" s="172" t="s">
        <v>948</v>
      </c>
      <c r="C28" s="173" t="s">
        <v>209</v>
      </c>
      <c r="D28" s="173">
        <v>8</v>
      </c>
      <c r="E28" s="174">
        <v>121.69</v>
      </c>
      <c r="F28" s="174">
        <f t="shared" si="1"/>
        <v>973.52</v>
      </c>
      <c r="G28" s="173"/>
      <c r="H28" s="173"/>
      <c r="I28" s="173">
        <v>90777</v>
      </c>
      <c r="J28" s="173" t="s">
        <v>495</v>
      </c>
      <c r="K28" s="138"/>
      <c r="L28" s="138"/>
    </row>
    <row r="29" spans="1:12" x14ac:dyDescent="0.25">
      <c r="A29" s="172">
        <v>26</v>
      </c>
      <c r="B29" s="172" t="s">
        <v>949</v>
      </c>
      <c r="C29" s="173" t="s">
        <v>209</v>
      </c>
      <c r="D29" s="173">
        <v>24</v>
      </c>
      <c r="E29" s="174">
        <v>121.69</v>
      </c>
      <c r="F29" s="174">
        <f t="shared" si="1"/>
        <v>2920.56</v>
      </c>
      <c r="G29" s="173"/>
      <c r="H29" s="173"/>
      <c r="I29" s="173">
        <v>90777</v>
      </c>
      <c r="J29" s="173" t="s">
        <v>495</v>
      </c>
      <c r="K29" s="138"/>
      <c r="L29" s="138"/>
    </row>
    <row r="30" spans="1:12" x14ac:dyDescent="0.25">
      <c r="A30" s="172">
        <v>27</v>
      </c>
      <c r="B30" s="172" t="s">
        <v>950</v>
      </c>
      <c r="C30" s="173" t="s">
        <v>209</v>
      </c>
      <c r="D30" s="173">
        <v>24</v>
      </c>
      <c r="E30" s="174">
        <v>121.69</v>
      </c>
      <c r="F30" s="174">
        <f t="shared" si="1"/>
        <v>2920.56</v>
      </c>
      <c r="G30" s="173"/>
      <c r="H30" s="173"/>
      <c r="I30" s="173">
        <v>90777</v>
      </c>
      <c r="J30" s="173" t="s">
        <v>495</v>
      </c>
      <c r="K30" s="138"/>
      <c r="L30" s="138"/>
    </row>
    <row r="31" spans="1:12" x14ac:dyDescent="0.25">
      <c r="A31" s="172">
        <v>28</v>
      </c>
      <c r="B31" s="172" t="s">
        <v>951</v>
      </c>
      <c r="C31" s="173" t="s">
        <v>209</v>
      </c>
      <c r="D31" s="173">
        <v>64</v>
      </c>
      <c r="E31" s="174">
        <v>43.25</v>
      </c>
      <c r="F31" s="174">
        <f t="shared" si="1"/>
        <v>2768</v>
      </c>
      <c r="G31" s="173"/>
      <c r="H31" s="173"/>
      <c r="I31" s="173">
        <v>88264</v>
      </c>
      <c r="J31" s="173" t="s">
        <v>495</v>
      </c>
      <c r="K31" s="138"/>
      <c r="L31" s="138"/>
    </row>
    <row r="32" spans="1:12" x14ac:dyDescent="0.25">
      <c r="A32" s="172">
        <v>29</v>
      </c>
      <c r="B32" s="172" t="s">
        <v>952</v>
      </c>
      <c r="C32" s="173" t="s">
        <v>209</v>
      </c>
      <c r="D32" s="173">
        <v>96</v>
      </c>
      <c r="E32" s="174">
        <v>43.25</v>
      </c>
      <c r="F32" s="174">
        <f t="shared" si="1"/>
        <v>4152</v>
      </c>
      <c r="G32" s="173"/>
      <c r="H32" s="173"/>
      <c r="I32" s="173">
        <v>88264</v>
      </c>
      <c r="J32" s="173" t="s">
        <v>953</v>
      </c>
      <c r="K32" s="138"/>
      <c r="L32" s="138"/>
    </row>
    <row r="33" spans="1:12" x14ac:dyDescent="0.25">
      <c r="A33" s="172">
        <v>30</v>
      </c>
      <c r="B33" s="172" t="s">
        <v>954</v>
      </c>
      <c r="C33" s="173" t="s">
        <v>209</v>
      </c>
      <c r="D33" s="173">
        <v>96</v>
      </c>
      <c r="E33" s="174">
        <v>43.25</v>
      </c>
      <c r="F33" s="174">
        <f t="shared" si="1"/>
        <v>4152</v>
      </c>
      <c r="G33" s="173"/>
      <c r="H33" s="173"/>
      <c r="I33" s="173">
        <v>88264</v>
      </c>
      <c r="J33" s="173" t="s">
        <v>495</v>
      </c>
      <c r="K33" s="138"/>
      <c r="L33" s="138"/>
    </row>
    <row r="34" spans="1:12" x14ac:dyDescent="0.25">
      <c r="A34" s="172">
        <v>31</v>
      </c>
      <c r="B34" s="172" t="s">
        <v>955</v>
      </c>
      <c r="C34" s="173" t="s">
        <v>209</v>
      </c>
      <c r="D34" s="173">
        <v>384</v>
      </c>
      <c r="E34" s="174">
        <v>42.9</v>
      </c>
      <c r="F34" s="174">
        <f t="shared" si="1"/>
        <v>16473.599999999999</v>
      </c>
      <c r="G34" s="173"/>
      <c r="H34" s="173"/>
      <c r="I34" s="173">
        <v>100308</v>
      </c>
      <c r="J34" s="173" t="s">
        <v>495</v>
      </c>
      <c r="K34" s="138"/>
      <c r="L34" s="138"/>
    </row>
    <row r="35" spans="1:12" x14ac:dyDescent="0.25">
      <c r="A35" s="172">
        <v>32</v>
      </c>
      <c r="B35" s="172" t="s">
        <v>956</v>
      </c>
      <c r="C35" s="173" t="s">
        <v>209</v>
      </c>
      <c r="D35" s="173">
        <v>96</v>
      </c>
      <c r="E35" s="174">
        <v>35.44</v>
      </c>
      <c r="F35" s="174">
        <f t="shared" si="1"/>
        <v>3402.24</v>
      </c>
      <c r="G35" s="173"/>
      <c r="H35" s="173"/>
      <c r="I35" s="173">
        <v>88310</v>
      </c>
      <c r="J35" s="173" t="s">
        <v>495</v>
      </c>
      <c r="K35" s="138"/>
      <c r="L35" s="138"/>
    </row>
    <row r="36" spans="1:12" x14ac:dyDescent="0.25">
      <c r="A36" s="172">
        <v>33</v>
      </c>
      <c r="B36" s="172" t="s">
        <v>957</v>
      </c>
      <c r="C36" s="173" t="s">
        <v>209</v>
      </c>
      <c r="D36" s="173">
        <v>16</v>
      </c>
      <c r="E36" s="174">
        <v>42.58</v>
      </c>
      <c r="F36" s="174">
        <f t="shared" si="1"/>
        <v>681.28</v>
      </c>
      <c r="G36" s="173"/>
      <c r="H36" s="173"/>
      <c r="I36" s="173">
        <v>100307</v>
      </c>
      <c r="J36" s="173" t="s">
        <v>495</v>
      </c>
      <c r="K36" s="138"/>
      <c r="L36" s="138"/>
    </row>
    <row r="37" spans="1:12" x14ac:dyDescent="0.25">
      <c r="A37" s="172">
        <v>34</v>
      </c>
      <c r="B37" s="172" t="s">
        <v>958</v>
      </c>
      <c r="C37" s="173" t="s">
        <v>209</v>
      </c>
      <c r="D37" s="173">
        <v>16</v>
      </c>
      <c r="E37" s="174">
        <v>34.79</v>
      </c>
      <c r="F37" s="174">
        <f t="shared" si="1"/>
        <v>556.64</v>
      </c>
      <c r="G37" s="173"/>
      <c r="H37" s="173"/>
      <c r="I37" s="173">
        <v>88279</v>
      </c>
      <c r="J37" s="173" t="s">
        <v>495</v>
      </c>
      <c r="K37" s="138"/>
      <c r="L37" s="138"/>
    </row>
    <row r="38" spans="1:12" x14ac:dyDescent="0.25">
      <c r="A38" s="129"/>
      <c r="B38" s="150" t="s">
        <v>959</v>
      </c>
      <c r="C38" s="152"/>
      <c r="D38" s="152"/>
      <c r="E38" s="157">
        <f>SUM(F4:F37)</f>
        <v>149244.14499999999</v>
      </c>
      <c r="F38" s="147"/>
      <c r="G38" s="154" t="e">
        <f>SUM(#REF!)</f>
        <v>#REF!</v>
      </c>
      <c r="H38" s="154"/>
      <c r="I38" s="148"/>
      <c r="J38" s="130"/>
    </row>
    <row r="39" spans="1:12" x14ac:dyDescent="0.25">
      <c r="A39" s="129"/>
      <c r="B39" s="159"/>
      <c r="C39" s="158" t="s">
        <v>903</v>
      </c>
      <c r="D39" s="156">
        <f>BDI!D22</f>
        <v>0.26240159730706081</v>
      </c>
      <c r="E39" s="161">
        <f>$D$39*E38</f>
        <v>39161.902036726591</v>
      </c>
      <c r="F39" s="149"/>
      <c r="G39" s="160" t="e">
        <f>$D$39*G38</f>
        <v>#REF!</v>
      </c>
      <c r="H39" s="160"/>
      <c r="I39" s="153"/>
      <c r="J39" s="131"/>
    </row>
    <row r="40" spans="1:12" x14ac:dyDescent="0.25">
      <c r="A40" s="129"/>
      <c r="B40" s="151" t="s">
        <v>904</v>
      </c>
      <c r="C40" s="155"/>
      <c r="D40" s="155"/>
      <c r="E40" s="163">
        <f>SUM(E38:F39)</f>
        <v>188406.04703672658</v>
      </c>
      <c r="F40" s="164"/>
      <c r="G40" s="165" t="e">
        <f>SUM(G38:H39)</f>
        <v>#REF!</v>
      </c>
      <c r="H40" s="165"/>
      <c r="I40" s="166"/>
      <c r="J40" s="131"/>
    </row>
    <row r="41" spans="1:12" x14ac:dyDescent="0.25">
      <c r="A41" s="129"/>
      <c r="B41" s="167" t="s">
        <v>437</v>
      </c>
      <c r="C41" s="168"/>
      <c r="D41" s="168"/>
      <c r="E41" s="163">
        <f>TRUNC(E40/12,2)</f>
        <v>15700.5</v>
      </c>
      <c r="F41" s="164"/>
      <c r="G41" s="165" t="e">
        <f>G40/12</f>
        <v>#REF!</v>
      </c>
      <c r="H41" s="165"/>
      <c r="I41" s="169"/>
      <c r="J41" s="131"/>
    </row>
    <row r="42" spans="1:12" x14ac:dyDescent="0.25">
      <c r="B42" s="151" t="s">
        <v>906</v>
      </c>
      <c r="C42" s="155"/>
      <c r="D42" s="155"/>
      <c r="E42" s="163">
        <f>TRUNC(E41*20,2)</f>
        <v>314010</v>
      </c>
      <c r="F42" s="164"/>
      <c r="G42" s="165" t="e">
        <f>SUM(G40:H41)</f>
        <v>#REF!</v>
      </c>
      <c r="H42" s="165"/>
      <c r="I42" s="166"/>
      <c r="J42" s="131"/>
    </row>
  </sheetData>
  <sortState xmlns:xlrd2="http://schemas.microsoft.com/office/spreadsheetml/2017/richdata2" ref="B24:J37">
    <sortCondition ref="B24:B37"/>
  </sortState>
  <mergeCells count="9">
    <mergeCell ref="A1:J1"/>
    <mergeCell ref="A2:A3"/>
    <mergeCell ref="B2:B3"/>
    <mergeCell ref="C2:C3"/>
    <mergeCell ref="D2:D3"/>
    <mergeCell ref="E2:F2"/>
    <mergeCell ref="G2:H2"/>
    <mergeCell ref="I2:I3"/>
    <mergeCell ref="J2:J3"/>
  </mergeCells>
  <pageMargins left="0.51181102362204722" right="0.51181102362204722" top="0.78740157480314965" bottom="0.78740157480314965" header="0.31496062992125984" footer="0.31496062992125984"/>
  <pageSetup paperSize="9" scale="7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E95AC-551C-43E4-AD8D-BF7A6C9503DA}">
  <sheetPr>
    <pageSetUpPr fitToPage="1"/>
  </sheetPr>
  <dimension ref="B3:G22"/>
  <sheetViews>
    <sheetView showGridLines="0" workbookViewId="0">
      <selection activeCell="E24" sqref="E24"/>
    </sheetView>
  </sheetViews>
  <sheetFormatPr defaultRowHeight="15" x14ac:dyDescent="0.25"/>
  <cols>
    <col min="2" max="2" width="19.5703125" bestFit="1" customWidth="1"/>
    <col min="3" max="3" width="13.42578125" customWidth="1"/>
    <col min="4" max="4" width="17.140625" customWidth="1"/>
    <col min="5" max="5" width="16" customWidth="1"/>
    <col min="6" max="6" width="10.85546875" bestFit="1" customWidth="1"/>
    <col min="7" max="7" width="19.42578125" customWidth="1"/>
    <col min="10" max="10" width="9.5703125" bestFit="1" customWidth="1"/>
  </cols>
  <sheetData>
    <row r="3" spans="2:7" ht="15.75" thickBot="1" x14ac:dyDescent="0.3"/>
    <row r="4" spans="2:7" ht="16.5" thickTop="1" thickBot="1" x14ac:dyDescent="0.3">
      <c r="B4" s="408" t="s">
        <v>960</v>
      </c>
      <c r="C4" s="408"/>
      <c r="D4" s="408"/>
      <c r="E4" s="408"/>
      <c r="F4" s="408"/>
      <c r="G4" s="408"/>
    </row>
    <row r="5" spans="2:7" ht="16.5" thickTop="1" thickBot="1" x14ac:dyDescent="0.3"/>
    <row r="6" spans="2:7" ht="15.75" thickTop="1" x14ac:dyDescent="0.25">
      <c r="B6" s="404" t="s">
        <v>44</v>
      </c>
      <c r="C6" s="404"/>
      <c r="D6" s="404"/>
      <c r="E6" s="404"/>
      <c r="F6" s="404"/>
      <c r="G6" s="404"/>
    </row>
    <row r="7" spans="2:7" ht="45" x14ac:dyDescent="0.25">
      <c r="B7" s="253" t="s">
        <v>442</v>
      </c>
      <c r="C7" s="253" t="s">
        <v>961</v>
      </c>
      <c r="D7" s="254" t="s">
        <v>962</v>
      </c>
      <c r="E7" s="254" t="s">
        <v>963</v>
      </c>
      <c r="F7" s="254" t="s">
        <v>964</v>
      </c>
      <c r="G7" s="254" t="s">
        <v>965</v>
      </c>
    </row>
    <row r="8" spans="2:7" x14ac:dyDescent="0.25">
      <c r="B8" s="58" t="s">
        <v>966</v>
      </c>
      <c r="C8" s="59" t="s">
        <v>967</v>
      </c>
      <c r="D8" s="60">
        <v>2</v>
      </c>
      <c r="E8" s="60">
        <v>60</v>
      </c>
      <c r="F8" s="61">
        <f>'Pesquisa de preço'!H38</f>
        <v>1444.6733333333334</v>
      </c>
      <c r="G8" s="61">
        <f>ROUND((F8*D8)/E8,2)</f>
        <v>48.16</v>
      </c>
    </row>
    <row r="9" spans="2:7" x14ac:dyDescent="0.25">
      <c r="B9" s="406" t="s">
        <v>968</v>
      </c>
      <c r="C9" s="406"/>
      <c r="D9" s="406"/>
      <c r="E9" s="406"/>
      <c r="F9" s="406"/>
      <c r="G9" s="255">
        <f>ROUND(SUM(G8:G8),2)</f>
        <v>48.16</v>
      </c>
    </row>
    <row r="10" spans="2:7" ht="15.75" thickBot="1" x14ac:dyDescent="0.3">
      <c r="B10" s="407" t="s">
        <v>969</v>
      </c>
      <c r="C10" s="407"/>
      <c r="D10" s="407"/>
      <c r="E10" s="407"/>
      <c r="F10" s="407"/>
      <c r="G10" s="62">
        <f>ROUND(G9/22,2)</f>
        <v>2.19</v>
      </c>
    </row>
    <row r="11" spans="2:7" ht="15.75" thickTop="1" x14ac:dyDescent="0.25"/>
    <row r="12" spans="2:7" ht="15.75" thickBot="1" x14ac:dyDescent="0.3"/>
    <row r="13" spans="2:7" ht="15.75" thickTop="1" x14ac:dyDescent="0.25">
      <c r="B13" s="404" t="s">
        <v>970</v>
      </c>
      <c r="C13" s="404"/>
      <c r="D13" s="404"/>
      <c r="E13" s="404"/>
      <c r="F13" s="404"/>
      <c r="G13" s="404"/>
    </row>
    <row r="14" spans="2:7" ht="45" x14ac:dyDescent="0.25">
      <c r="B14" s="186" t="s">
        <v>971</v>
      </c>
      <c r="C14" s="186" t="s">
        <v>972</v>
      </c>
      <c r="D14" s="186" t="s">
        <v>973</v>
      </c>
      <c r="E14" s="186" t="s">
        <v>974</v>
      </c>
      <c r="F14" s="186" t="s">
        <v>975</v>
      </c>
      <c r="G14" s="186" t="s">
        <v>976</v>
      </c>
    </row>
    <row r="15" spans="2:7" x14ac:dyDescent="0.25">
      <c r="B15" s="57">
        <v>300</v>
      </c>
      <c r="C15" s="57">
        <f>30000/4</f>
        <v>7500</v>
      </c>
      <c r="D15" s="57">
        <f>22*4</f>
        <v>88</v>
      </c>
      <c r="E15" s="57">
        <f>ROUND(C15/D15/30,0)</f>
        <v>3</v>
      </c>
      <c r="F15" s="57">
        <v>30</v>
      </c>
      <c r="G15" s="57">
        <f>F15/E15</f>
        <v>10</v>
      </c>
    </row>
    <row r="16" spans="2:7" x14ac:dyDescent="0.25">
      <c r="B16" s="406" t="s">
        <v>968</v>
      </c>
      <c r="C16" s="406"/>
      <c r="D16" s="406"/>
      <c r="E16" s="406"/>
      <c r="F16" s="406"/>
      <c r="G16" s="255">
        <f>ROUND((1+(4/6))*'Pesquisa de preço'!H49,2)</f>
        <v>339.89</v>
      </c>
    </row>
    <row r="17" spans="2:7" ht="15.75" thickBot="1" x14ac:dyDescent="0.3">
      <c r="B17" s="407" t="s">
        <v>969</v>
      </c>
      <c r="C17" s="407"/>
      <c r="D17" s="407"/>
      <c r="E17" s="407"/>
      <c r="F17" s="407"/>
      <c r="G17" s="62">
        <f>ROUND(G16/22/30,2)</f>
        <v>0.51</v>
      </c>
    </row>
    <row r="18" spans="2:7" ht="15.75" thickTop="1" x14ac:dyDescent="0.25"/>
    <row r="19" spans="2:7" ht="15.75" thickBot="1" x14ac:dyDescent="0.3"/>
    <row r="20" spans="2:7" ht="15.75" thickTop="1" x14ac:dyDescent="0.25">
      <c r="B20" s="404" t="s">
        <v>27</v>
      </c>
      <c r="C20" s="404"/>
      <c r="D20" s="404"/>
      <c r="E20" s="404"/>
      <c r="F20" s="404"/>
      <c r="G20" s="404"/>
    </row>
    <row r="21" spans="2:7" ht="15.75" thickBot="1" x14ac:dyDescent="0.3">
      <c r="B21" s="405" t="s">
        <v>969</v>
      </c>
      <c r="C21" s="405"/>
      <c r="D21" s="405"/>
      <c r="E21" s="405"/>
      <c r="F21" s="405"/>
      <c r="G21" s="256">
        <f>'Pesquisa de preço'!H21</f>
        <v>3.2871428571428574</v>
      </c>
    </row>
    <row r="22" spans="2:7" ht="15.75" thickTop="1" x14ac:dyDescent="0.25"/>
  </sheetData>
  <mergeCells count="9">
    <mergeCell ref="B20:G20"/>
    <mergeCell ref="B21:F21"/>
    <mergeCell ref="B9:F9"/>
    <mergeCell ref="B10:F10"/>
    <mergeCell ref="B4:G4"/>
    <mergeCell ref="B6:G6"/>
    <mergeCell ref="B13:G13"/>
    <mergeCell ref="B16:F16"/>
    <mergeCell ref="B17:F17"/>
  </mergeCells>
  <pageMargins left="0.51181102362204722" right="0.51181102362204722" top="0.78740157480314965" bottom="0.78740157480314965" header="0.31496062992125984" footer="0.31496062992125984"/>
  <pageSetup paperSize="9"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00899-8D90-4FBD-9C9E-9E6FF5C66136}">
  <sheetPr>
    <pageSetUpPr fitToPage="1"/>
  </sheetPr>
  <dimension ref="B1:I8"/>
  <sheetViews>
    <sheetView showGridLines="0" tabSelected="1" workbookViewId="0">
      <selection activeCell="F9" sqref="F9"/>
    </sheetView>
  </sheetViews>
  <sheetFormatPr defaultRowHeight="15" x14ac:dyDescent="0.25"/>
  <cols>
    <col min="1" max="1" width="4.140625" customWidth="1"/>
    <col min="2" max="2" width="14" customWidth="1"/>
    <col min="3" max="3" width="46.5703125" customWidth="1"/>
    <col min="4" max="5" width="25.85546875" customWidth="1"/>
  </cols>
  <sheetData>
    <row r="1" spans="2:9" ht="21" customHeight="1" x14ac:dyDescent="0.25">
      <c r="B1" s="304" t="s">
        <v>979</v>
      </c>
      <c r="C1" s="304"/>
      <c r="D1" s="304"/>
      <c r="E1" s="304"/>
      <c r="F1" s="72"/>
      <c r="G1" s="72"/>
      <c r="H1" s="72"/>
      <c r="I1" s="72"/>
    </row>
    <row r="2" spans="2:9" ht="15.75" thickBot="1" x14ac:dyDescent="0.3"/>
    <row r="3" spans="2:9" ht="16.5" thickTop="1" thickBot="1" x14ac:dyDescent="0.3">
      <c r="B3" s="86" t="s">
        <v>130</v>
      </c>
      <c r="C3" s="86" t="s">
        <v>131</v>
      </c>
      <c r="D3" s="87" t="s">
        <v>132</v>
      </c>
      <c r="E3" s="87" t="s">
        <v>133</v>
      </c>
    </row>
    <row r="4" spans="2:9" ht="39.950000000000003" customHeight="1" x14ac:dyDescent="0.25">
      <c r="B4" s="78">
        <v>1</v>
      </c>
      <c r="C4" s="79" t="s">
        <v>134</v>
      </c>
      <c r="D4" s="80">
        <f>'Oficial de Manutenção SJC'!J133+'Oficial de Manutenção SP'!J133+'Engenheiro Eletricista'!J52+'Eng. Mec.'!J52</f>
        <v>18498.140000000003</v>
      </c>
      <c r="E4" s="80">
        <f>TRUNC(D4*12,2)</f>
        <v>221977.68</v>
      </c>
    </row>
    <row r="5" spans="2:9" ht="39.950000000000003" customHeight="1" x14ac:dyDescent="0.25">
      <c r="B5" s="78">
        <v>2</v>
      </c>
      <c r="C5" s="79" t="s">
        <v>135</v>
      </c>
      <c r="D5" s="80">
        <f>'Materiais Reposição'!H212</f>
        <v>6546.56</v>
      </c>
      <c r="E5" s="80">
        <f>TRUNC(D5*12,2)</f>
        <v>78558.720000000001</v>
      </c>
    </row>
    <row r="6" spans="2:9" ht="39.950000000000003" customHeight="1" thickBot="1" x14ac:dyDescent="0.3">
      <c r="B6" s="78">
        <v>3</v>
      </c>
      <c r="C6" s="170" t="s">
        <v>136</v>
      </c>
      <c r="D6" s="88">
        <f>'Serviços Eventuais'!E41</f>
        <v>15700.5</v>
      </c>
      <c r="E6" s="80">
        <f>TRUNC(D6*12,2)</f>
        <v>188406</v>
      </c>
    </row>
    <row r="7" spans="2:9" ht="15.75" thickBot="1" x14ac:dyDescent="0.3">
      <c r="B7" s="303" t="s">
        <v>137</v>
      </c>
      <c r="C7" s="303"/>
      <c r="D7" s="89">
        <f>SUM(D4,D5,D6)</f>
        <v>40745.200000000004</v>
      </c>
      <c r="E7" s="89">
        <f>SUM(E4,E5,E6)</f>
        <v>488942.4</v>
      </c>
    </row>
    <row r="8" spans="2:9" ht="15.75" thickTop="1" x14ac:dyDescent="0.25"/>
  </sheetData>
  <mergeCells count="2">
    <mergeCell ref="B7:C7"/>
    <mergeCell ref="B1:E1"/>
  </mergeCells>
  <pageMargins left="0.51181102362204722" right="0.51181102362204722" top="0.78740157480314965" bottom="0.78740157480314965" header="0.31496062992125984" footer="0.31496062992125984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9B4AC-4C5A-4EFA-A8FD-FD3364E7BA2F}">
  <sheetPr>
    <pageSetUpPr fitToPage="1"/>
  </sheetPr>
  <dimension ref="B1:M139"/>
  <sheetViews>
    <sheetView showGridLines="0" topLeftCell="A73" zoomScale="80" zoomScaleNormal="80" workbookViewId="0">
      <selection activeCell="B1" sqref="B1:J1"/>
    </sheetView>
  </sheetViews>
  <sheetFormatPr defaultColWidth="8.85546875" defaultRowHeight="15" x14ac:dyDescent="0.25"/>
  <cols>
    <col min="1" max="1" width="3.42578125" customWidth="1"/>
    <col min="2" max="2" width="10.42578125" customWidth="1"/>
    <col min="3" max="3" width="49.5703125" bestFit="1" customWidth="1"/>
    <col min="8" max="8" width="9" bestFit="1" customWidth="1"/>
    <col min="9" max="9" width="9.42578125" bestFit="1" customWidth="1"/>
    <col min="10" max="10" width="25.42578125" customWidth="1"/>
    <col min="11" max="11" width="11.85546875" bestFit="1" customWidth="1"/>
    <col min="12" max="12" width="25.85546875" style="19" customWidth="1"/>
    <col min="13" max="13" width="63.42578125" style="19" customWidth="1"/>
  </cols>
  <sheetData>
    <row r="1" spans="2:10" x14ac:dyDescent="0.25">
      <c r="B1" s="340"/>
      <c r="C1" s="340"/>
      <c r="D1" s="340"/>
      <c r="E1" s="340"/>
      <c r="F1" s="340"/>
      <c r="G1" s="340"/>
      <c r="H1" s="340"/>
      <c r="I1" s="340"/>
      <c r="J1" s="340"/>
    </row>
    <row r="2" spans="2:10" x14ac:dyDescent="0.25">
      <c r="B2" s="341" t="s">
        <v>138</v>
      </c>
      <c r="C2" s="341"/>
      <c r="D2" s="341"/>
      <c r="E2" s="341"/>
      <c r="F2" s="341"/>
      <c r="G2" s="341"/>
      <c r="H2" s="341"/>
      <c r="I2" s="341"/>
      <c r="J2" s="341"/>
    </row>
    <row r="3" spans="2:10" x14ac:dyDescent="0.25">
      <c r="B3" s="341" t="s">
        <v>139</v>
      </c>
      <c r="C3" s="341"/>
      <c r="D3" s="341"/>
      <c r="E3" s="341"/>
      <c r="F3" s="341"/>
      <c r="G3" s="341"/>
      <c r="H3" s="341"/>
      <c r="I3" s="341"/>
      <c r="J3" s="341"/>
    </row>
    <row r="4" spans="2:10" x14ac:dyDescent="0.25">
      <c r="B4" s="342" t="s">
        <v>140</v>
      </c>
      <c r="C4" s="342"/>
      <c r="D4" s="342"/>
      <c r="E4" s="342"/>
      <c r="F4" s="342"/>
      <c r="G4" s="342"/>
      <c r="H4" s="342"/>
      <c r="I4" s="342"/>
      <c r="J4" s="342"/>
    </row>
    <row r="5" spans="2:10" x14ac:dyDescent="0.25">
      <c r="B5" s="337"/>
      <c r="C5" s="337"/>
      <c r="D5" s="337"/>
      <c r="E5" s="337"/>
      <c r="F5" s="337"/>
      <c r="G5" s="337"/>
      <c r="H5" s="337"/>
      <c r="I5" s="337"/>
      <c r="J5" s="337"/>
    </row>
    <row r="6" spans="2:10" x14ac:dyDescent="0.25">
      <c r="B6" s="343" t="s">
        <v>141</v>
      </c>
      <c r="C6" s="343"/>
      <c r="D6" s="343"/>
      <c r="E6" s="343"/>
      <c r="F6" s="343"/>
      <c r="G6" s="343"/>
      <c r="H6" s="343"/>
      <c r="I6" s="343"/>
      <c r="J6" s="343"/>
    </row>
    <row r="7" spans="2:10" x14ac:dyDescent="0.25">
      <c r="B7" s="339"/>
      <c r="C7" s="339"/>
      <c r="D7" s="339"/>
      <c r="E7" s="339"/>
      <c r="F7" s="339"/>
      <c r="G7" s="339"/>
      <c r="H7" s="339"/>
      <c r="I7" s="339"/>
      <c r="J7" s="339"/>
    </row>
    <row r="8" spans="2:10" x14ac:dyDescent="0.25">
      <c r="B8" s="308" t="s">
        <v>142</v>
      </c>
      <c r="C8" s="308"/>
      <c r="D8" s="308"/>
      <c r="E8" s="308"/>
      <c r="F8" s="308"/>
      <c r="G8" s="308"/>
      <c r="H8" s="308"/>
      <c r="I8" s="308"/>
      <c r="J8" s="308"/>
    </row>
    <row r="9" spans="2:10" x14ac:dyDescent="0.25">
      <c r="B9" s="188" t="s">
        <v>143</v>
      </c>
      <c r="C9" s="305" t="s">
        <v>144</v>
      </c>
      <c r="D9" s="305"/>
      <c r="E9" s="305"/>
      <c r="F9" s="305"/>
      <c r="G9" s="305"/>
      <c r="H9" s="305"/>
      <c r="I9" s="335"/>
      <c r="J9" s="336"/>
    </row>
    <row r="10" spans="2:10" x14ac:dyDescent="0.25">
      <c r="B10" s="188" t="s">
        <v>145</v>
      </c>
      <c r="C10" s="305" t="s">
        <v>146</v>
      </c>
      <c r="D10" s="305"/>
      <c r="E10" s="305"/>
      <c r="F10" s="305"/>
      <c r="G10" s="305"/>
      <c r="H10" s="305"/>
      <c r="I10" s="336" t="s">
        <v>147</v>
      </c>
      <c r="J10" s="336"/>
    </row>
    <row r="11" spans="2:10" ht="44.45" customHeight="1" x14ac:dyDescent="0.25">
      <c r="B11" s="188" t="s">
        <v>148</v>
      </c>
      <c r="C11" s="305" t="s">
        <v>149</v>
      </c>
      <c r="D11" s="305"/>
      <c r="E11" s="305"/>
      <c r="F11" s="305"/>
      <c r="G11" s="305"/>
      <c r="H11" s="305"/>
      <c r="I11" s="344" t="s">
        <v>150</v>
      </c>
      <c r="J11" s="336"/>
    </row>
    <row r="12" spans="2:10" x14ac:dyDescent="0.25">
      <c r="B12" s="188" t="s">
        <v>151</v>
      </c>
      <c r="C12" s="305" t="s">
        <v>152</v>
      </c>
      <c r="D12" s="305"/>
      <c r="E12" s="305"/>
      <c r="F12" s="305"/>
      <c r="G12" s="305"/>
      <c r="H12" s="305"/>
      <c r="I12" s="336">
        <v>12</v>
      </c>
      <c r="J12" s="336"/>
    </row>
    <row r="13" spans="2:10" x14ac:dyDescent="0.25">
      <c r="B13" s="69"/>
      <c r="C13" s="67"/>
      <c r="D13" s="67"/>
      <c r="E13" s="67"/>
      <c r="F13" s="67"/>
      <c r="G13" s="67"/>
      <c r="H13" s="67"/>
      <c r="I13" s="69"/>
      <c r="J13" s="69"/>
    </row>
    <row r="14" spans="2:10" x14ac:dyDescent="0.25">
      <c r="B14" s="308" t="s">
        <v>153</v>
      </c>
      <c r="C14" s="308"/>
      <c r="D14" s="308"/>
      <c r="E14" s="308"/>
      <c r="F14" s="308"/>
      <c r="G14" s="308"/>
      <c r="H14" s="308"/>
      <c r="I14" s="308"/>
      <c r="J14" s="308"/>
    </row>
    <row r="15" spans="2:10" x14ac:dyDescent="0.25">
      <c r="B15" s="336" t="s">
        <v>154</v>
      </c>
      <c r="C15" s="336"/>
      <c r="D15" s="336" t="s">
        <v>155</v>
      </c>
      <c r="E15" s="336"/>
      <c r="F15" s="336" t="s">
        <v>156</v>
      </c>
      <c r="G15" s="336"/>
      <c r="H15" s="336"/>
      <c r="I15" s="336"/>
      <c r="J15" s="336"/>
    </row>
    <row r="16" spans="2:10" x14ac:dyDescent="0.25">
      <c r="B16" s="336" t="s">
        <v>157</v>
      </c>
      <c r="C16" s="336"/>
      <c r="D16" s="336" t="s">
        <v>158</v>
      </c>
      <c r="E16" s="336"/>
      <c r="F16" s="336">
        <v>1</v>
      </c>
      <c r="G16" s="336"/>
      <c r="H16" s="336"/>
      <c r="I16" s="336"/>
      <c r="J16" s="336"/>
    </row>
    <row r="17" spans="2:13" x14ac:dyDescent="0.25">
      <c r="B17" s="69"/>
      <c r="C17" s="67"/>
      <c r="D17" s="67"/>
      <c r="E17" s="67"/>
      <c r="F17" s="67"/>
      <c r="G17" s="67"/>
      <c r="H17" s="67"/>
      <c r="I17" s="69"/>
      <c r="J17" s="69"/>
    </row>
    <row r="18" spans="2:13" x14ac:dyDescent="0.25">
      <c r="B18" s="308" t="s">
        <v>159</v>
      </c>
      <c r="C18" s="308"/>
      <c r="D18" s="308"/>
      <c r="E18" s="308"/>
      <c r="F18" s="308"/>
      <c r="G18" s="308"/>
      <c r="H18" s="308"/>
      <c r="I18" s="308"/>
      <c r="J18" s="308"/>
    </row>
    <row r="19" spans="2:13" x14ac:dyDescent="0.25">
      <c r="B19" s="188">
        <v>1</v>
      </c>
      <c r="C19" s="305" t="s">
        <v>160</v>
      </c>
      <c r="D19" s="305"/>
      <c r="E19" s="305"/>
      <c r="F19" s="305"/>
      <c r="G19" s="305"/>
      <c r="H19" s="305"/>
      <c r="I19" s="336" t="s">
        <v>161</v>
      </c>
      <c r="J19" s="336"/>
    </row>
    <row r="20" spans="2:13" x14ac:dyDescent="0.25">
      <c r="B20" s="188">
        <v>2</v>
      </c>
      <c r="C20" s="305" t="s">
        <v>162</v>
      </c>
      <c r="D20" s="305"/>
      <c r="E20" s="305"/>
      <c r="F20" s="305"/>
      <c r="G20" s="305"/>
      <c r="H20" s="305"/>
      <c r="I20" s="336" t="s">
        <v>163</v>
      </c>
      <c r="J20" s="336"/>
    </row>
    <row r="21" spans="2:13" x14ac:dyDescent="0.25">
      <c r="B21" s="188">
        <v>3</v>
      </c>
      <c r="C21" s="305" t="s">
        <v>164</v>
      </c>
      <c r="D21" s="305"/>
      <c r="E21" s="305"/>
      <c r="F21" s="305"/>
      <c r="G21" s="305"/>
      <c r="H21" s="305"/>
      <c r="I21" s="338">
        <v>2513.91</v>
      </c>
      <c r="J21" s="336"/>
    </row>
    <row r="22" spans="2:13" x14ac:dyDescent="0.25">
      <c r="B22" s="188">
        <v>4</v>
      </c>
      <c r="C22" s="305" t="s">
        <v>165</v>
      </c>
      <c r="D22" s="305"/>
      <c r="E22" s="305"/>
      <c r="F22" s="305"/>
      <c r="G22" s="305"/>
      <c r="H22" s="305"/>
      <c r="I22" s="306" t="s">
        <v>157</v>
      </c>
      <c r="J22" s="306"/>
    </row>
    <row r="23" spans="2:13" x14ac:dyDescent="0.25">
      <c r="B23" s="188">
        <v>5</v>
      </c>
      <c r="C23" s="305" t="s">
        <v>166</v>
      </c>
      <c r="D23" s="305"/>
      <c r="E23" s="305"/>
      <c r="F23" s="305"/>
      <c r="G23" s="305"/>
      <c r="H23" s="305"/>
      <c r="I23" s="335" t="s">
        <v>167</v>
      </c>
      <c r="J23" s="336"/>
    </row>
    <row r="24" spans="2:13" x14ac:dyDescent="0.25">
      <c r="B24" s="337"/>
      <c r="C24" s="337"/>
      <c r="D24" s="337"/>
      <c r="E24" s="337"/>
      <c r="F24" s="337"/>
      <c r="G24" s="337"/>
      <c r="H24" s="337"/>
      <c r="I24" s="337"/>
      <c r="J24" s="337"/>
    </row>
    <row r="25" spans="2:13" x14ac:dyDescent="0.25">
      <c r="B25" s="317" t="s">
        <v>168</v>
      </c>
      <c r="C25" s="317"/>
      <c r="D25" s="317"/>
      <c r="E25" s="317"/>
      <c r="F25" s="317"/>
      <c r="G25" s="317"/>
      <c r="H25" s="317"/>
      <c r="I25" s="317"/>
      <c r="J25" s="317"/>
    </row>
    <row r="26" spans="2:13" x14ac:dyDescent="0.25">
      <c r="B26" s="189">
        <v>1</v>
      </c>
      <c r="C26" s="306" t="s">
        <v>169</v>
      </c>
      <c r="D26" s="306"/>
      <c r="E26" s="306"/>
      <c r="F26" s="306"/>
      <c r="G26" s="306"/>
      <c r="H26" s="306"/>
      <c r="I26" s="189" t="s">
        <v>170</v>
      </c>
      <c r="J26" s="189" t="s">
        <v>171</v>
      </c>
      <c r="L26" s="141" t="s">
        <v>172</v>
      </c>
      <c r="M26" s="141" t="s">
        <v>173</v>
      </c>
    </row>
    <row r="27" spans="2:13" x14ac:dyDescent="0.25">
      <c r="B27" s="189" t="s">
        <v>143</v>
      </c>
      <c r="C27" s="305" t="s">
        <v>174</v>
      </c>
      <c r="D27" s="305"/>
      <c r="E27" s="305"/>
      <c r="F27" s="305"/>
      <c r="G27" s="305"/>
      <c r="H27" s="305"/>
      <c r="I27" s="190"/>
      <c r="J27" s="191">
        <v>2513.91</v>
      </c>
      <c r="L27" s="192"/>
      <c r="M27" s="193" t="s">
        <v>175</v>
      </c>
    </row>
    <row r="28" spans="2:13" x14ac:dyDescent="0.25">
      <c r="B28" s="189" t="s">
        <v>145</v>
      </c>
      <c r="C28" s="305" t="s">
        <v>176</v>
      </c>
      <c r="D28" s="305"/>
      <c r="E28" s="305"/>
      <c r="F28" s="305"/>
      <c r="G28" s="305"/>
      <c r="H28" s="305"/>
      <c r="I28" s="194">
        <v>0.3</v>
      </c>
      <c r="J28" s="191">
        <f>TRUNC($J$27*I28,2)</f>
        <v>754.17</v>
      </c>
      <c r="L28" s="192"/>
      <c r="M28" s="193" t="s">
        <v>177</v>
      </c>
    </row>
    <row r="29" spans="2:13" x14ac:dyDescent="0.25">
      <c r="B29" s="189" t="s">
        <v>148</v>
      </c>
      <c r="C29" s="305" t="s">
        <v>178</v>
      </c>
      <c r="D29" s="305"/>
      <c r="E29" s="305"/>
      <c r="F29" s="305"/>
      <c r="G29" s="305"/>
      <c r="H29" s="305"/>
      <c r="I29" s="194"/>
      <c r="J29" s="191">
        <f t="shared" ref="J29:J32" si="0">TRUNC($J$27*I29,2)</f>
        <v>0</v>
      </c>
    </row>
    <row r="30" spans="2:13" x14ac:dyDescent="0.25">
      <c r="B30" s="189" t="s">
        <v>151</v>
      </c>
      <c r="C30" s="305" t="s">
        <v>179</v>
      </c>
      <c r="D30" s="305"/>
      <c r="E30" s="305"/>
      <c r="F30" s="305"/>
      <c r="G30" s="305"/>
      <c r="H30" s="305"/>
      <c r="I30" s="194"/>
      <c r="J30" s="191">
        <f t="shared" si="0"/>
        <v>0</v>
      </c>
      <c r="K30" s="19"/>
    </row>
    <row r="31" spans="2:13" x14ac:dyDescent="0.25">
      <c r="B31" s="189" t="s">
        <v>180</v>
      </c>
      <c r="C31" s="305" t="s">
        <v>181</v>
      </c>
      <c r="D31" s="305"/>
      <c r="E31" s="305"/>
      <c r="F31" s="305"/>
      <c r="G31" s="305"/>
      <c r="H31" s="305"/>
      <c r="I31" s="195"/>
      <c r="J31" s="191">
        <f t="shared" si="0"/>
        <v>0</v>
      </c>
    </row>
    <row r="32" spans="2:13" x14ac:dyDescent="0.25">
      <c r="B32" s="189" t="s">
        <v>182</v>
      </c>
      <c r="C32" s="305" t="s">
        <v>183</v>
      </c>
      <c r="D32" s="305"/>
      <c r="E32" s="305"/>
      <c r="F32" s="305"/>
      <c r="G32" s="305"/>
      <c r="H32" s="305"/>
      <c r="I32" s="194"/>
      <c r="J32" s="191">
        <f t="shared" si="0"/>
        <v>0</v>
      </c>
    </row>
    <row r="33" spans="2:13" x14ac:dyDescent="0.25">
      <c r="B33" s="306" t="s">
        <v>184</v>
      </c>
      <c r="C33" s="306"/>
      <c r="D33" s="306"/>
      <c r="E33" s="306"/>
      <c r="F33" s="306"/>
      <c r="G33" s="306"/>
      <c r="H33" s="306"/>
      <c r="I33" s="306"/>
      <c r="J33" s="196">
        <f>SUM(J27:J32)</f>
        <v>3268.08</v>
      </c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2"/>
    </row>
    <row r="35" spans="2:13" x14ac:dyDescent="0.25">
      <c r="B35" s="317" t="s">
        <v>185</v>
      </c>
      <c r="C35" s="317"/>
      <c r="D35" s="317"/>
      <c r="E35" s="317"/>
      <c r="F35" s="317"/>
      <c r="G35" s="317"/>
      <c r="H35" s="317"/>
      <c r="I35" s="317"/>
      <c r="J35" s="317"/>
    </row>
    <row r="36" spans="2:13" x14ac:dyDescent="0.25">
      <c r="B36" s="332" t="s">
        <v>186</v>
      </c>
      <c r="C36" s="332"/>
      <c r="D36" s="332"/>
      <c r="E36" s="332"/>
      <c r="F36" s="332"/>
      <c r="G36" s="332"/>
      <c r="H36" s="332"/>
      <c r="I36" s="197" t="s">
        <v>170</v>
      </c>
      <c r="J36" s="197" t="s">
        <v>171</v>
      </c>
      <c r="L36" s="141" t="s">
        <v>172</v>
      </c>
      <c r="M36" s="141" t="s">
        <v>173</v>
      </c>
    </row>
    <row r="37" spans="2:13" ht="25.5" x14ac:dyDescent="0.25">
      <c r="B37" s="189" t="s">
        <v>143</v>
      </c>
      <c r="C37" s="305" t="s">
        <v>187</v>
      </c>
      <c r="D37" s="305"/>
      <c r="E37" s="305"/>
      <c r="F37" s="305"/>
      <c r="G37" s="305"/>
      <c r="H37" s="305"/>
      <c r="I37" s="198">
        <v>8.3299999999999999E-2</v>
      </c>
      <c r="J37" s="191">
        <f>TRUNC($J$33*I37,2)</f>
        <v>272.23</v>
      </c>
      <c r="K37" s="17"/>
      <c r="L37" s="192"/>
      <c r="M37" s="199" t="s">
        <v>188</v>
      </c>
    </row>
    <row r="38" spans="2:13" ht="25.5" x14ac:dyDescent="0.25">
      <c r="B38" s="189" t="s">
        <v>145</v>
      </c>
      <c r="C38" s="305" t="s">
        <v>189</v>
      </c>
      <c r="D38" s="305"/>
      <c r="E38" s="305"/>
      <c r="F38" s="305"/>
      <c r="G38" s="305"/>
      <c r="H38" s="305"/>
      <c r="I38" s="200">
        <v>0.121</v>
      </c>
      <c r="J38" s="191">
        <f>TRUNC($J$33*I38,2)</f>
        <v>395.43</v>
      </c>
      <c r="K38" s="17"/>
      <c r="L38" s="183" t="s">
        <v>190</v>
      </c>
      <c r="M38" s="199" t="s">
        <v>191</v>
      </c>
    </row>
    <row r="39" spans="2:13" x14ac:dyDescent="0.25">
      <c r="B39" s="306" t="s">
        <v>192</v>
      </c>
      <c r="C39" s="306"/>
      <c r="D39" s="306"/>
      <c r="E39" s="306"/>
      <c r="F39" s="306"/>
      <c r="G39" s="306"/>
      <c r="H39" s="306"/>
      <c r="I39" s="201">
        <f>SUM(I37:I38)</f>
        <v>0.20429999999999998</v>
      </c>
      <c r="J39" s="196">
        <f>SUM(J37:J38)</f>
        <v>667.66000000000008</v>
      </c>
      <c r="K39" s="18"/>
    </row>
    <row r="40" spans="2:13" x14ac:dyDescent="0.25">
      <c r="B40" s="333"/>
      <c r="C40" s="334"/>
      <c r="D40" s="334"/>
      <c r="E40" s="334"/>
      <c r="F40" s="334"/>
      <c r="G40" s="334"/>
      <c r="H40" s="334"/>
      <c r="I40" s="334"/>
      <c r="J40" s="334"/>
    </row>
    <row r="41" spans="2:13" x14ac:dyDescent="0.25">
      <c r="B41" s="332" t="s">
        <v>193</v>
      </c>
      <c r="C41" s="332"/>
      <c r="D41" s="332"/>
      <c r="E41" s="332"/>
      <c r="F41" s="332"/>
      <c r="G41" s="332"/>
      <c r="H41" s="332"/>
      <c r="I41" s="197" t="s">
        <v>170</v>
      </c>
      <c r="J41" s="197" t="s">
        <v>171</v>
      </c>
      <c r="L41" s="141" t="s">
        <v>172</v>
      </c>
      <c r="M41" s="141" t="s">
        <v>173</v>
      </c>
    </row>
    <row r="42" spans="2:13" x14ac:dyDescent="0.25">
      <c r="B42" s="189" t="s">
        <v>143</v>
      </c>
      <c r="C42" s="305" t="s">
        <v>194</v>
      </c>
      <c r="D42" s="305"/>
      <c r="E42" s="305"/>
      <c r="F42" s="305"/>
      <c r="G42" s="305"/>
      <c r="H42" s="305"/>
      <c r="I42" s="198">
        <v>0.2</v>
      </c>
      <c r="J42" s="191">
        <f>TRUNC(($J$33+$J$39)*$I$42,2)</f>
        <v>787.14</v>
      </c>
      <c r="L42" s="192"/>
      <c r="M42" s="20" t="s">
        <v>195</v>
      </c>
    </row>
    <row r="43" spans="2:13" x14ac:dyDescent="0.25">
      <c r="B43" s="189" t="s">
        <v>145</v>
      </c>
      <c r="C43" s="305" t="s">
        <v>196</v>
      </c>
      <c r="D43" s="305"/>
      <c r="E43" s="305"/>
      <c r="F43" s="305"/>
      <c r="G43" s="305"/>
      <c r="H43" s="305"/>
      <c r="I43" s="198">
        <v>2.5000000000000001E-2</v>
      </c>
      <c r="J43" s="191">
        <f>TRUNC(($J$33+$J$39)*$I$43,2)</f>
        <v>98.39</v>
      </c>
      <c r="L43" s="192"/>
      <c r="M43" s="20" t="s">
        <v>197</v>
      </c>
    </row>
    <row r="44" spans="2:13" x14ac:dyDescent="0.25">
      <c r="B44" s="189" t="s">
        <v>148</v>
      </c>
      <c r="C44" s="305" t="s">
        <v>198</v>
      </c>
      <c r="D44" s="305"/>
      <c r="E44" s="305"/>
      <c r="F44" s="305"/>
      <c r="G44" s="305"/>
      <c r="H44" s="305"/>
      <c r="I44" s="198">
        <v>0.03</v>
      </c>
      <c r="J44" s="191">
        <f>TRUNC(($J$33+$J$39)*$I$44,2)</f>
        <v>118.07</v>
      </c>
      <c r="L44" s="183" t="s">
        <v>199</v>
      </c>
      <c r="M44" s="20" t="s">
        <v>200</v>
      </c>
    </row>
    <row r="45" spans="2:13" x14ac:dyDescent="0.25">
      <c r="B45" s="189" t="s">
        <v>151</v>
      </c>
      <c r="C45" s="305" t="s">
        <v>201</v>
      </c>
      <c r="D45" s="305"/>
      <c r="E45" s="305"/>
      <c r="F45" s="305"/>
      <c r="G45" s="305"/>
      <c r="H45" s="305"/>
      <c r="I45" s="198">
        <v>1.4999999999999999E-2</v>
      </c>
      <c r="J45" s="191">
        <f>TRUNC(($J$33+$J$39)*$I$45,2)</f>
        <v>59.03</v>
      </c>
      <c r="L45" s="192"/>
      <c r="M45" s="20" t="s">
        <v>202</v>
      </c>
    </row>
    <row r="46" spans="2:13" x14ac:dyDescent="0.25">
      <c r="B46" s="189" t="s">
        <v>180</v>
      </c>
      <c r="C46" s="305" t="s">
        <v>203</v>
      </c>
      <c r="D46" s="305"/>
      <c r="E46" s="305"/>
      <c r="F46" s="305"/>
      <c r="G46" s="305"/>
      <c r="H46" s="305"/>
      <c r="I46" s="198">
        <v>0.01</v>
      </c>
      <c r="J46" s="191">
        <f>TRUNC(($J$33+$J$39)*$I$46,2)</f>
        <v>39.35</v>
      </c>
      <c r="L46" s="192"/>
      <c r="M46" s="20" t="s">
        <v>204</v>
      </c>
    </row>
    <row r="47" spans="2:13" x14ac:dyDescent="0.25">
      <c r="B47" s="189" t="s">
        <v>182</v>
      </c>
      <c r="C47" s="305" t="s">
        <v>205</v>
      </c>
      <c r="D47" s="305"/>
      <c r="E47" s="305"/>
      <c r="F47" s="305"/>
      <c r="G47" s="305"/>
      <c r="H47" s="305"/>
      <c r="I47" s="198">
        <v>6.0000000000000001E-3</v>
      </c>
      <c r="J47" s="191">
        <f>TRUNC(($J$33+$J$39)*$I$47,2)</f>
        <v>23.61</v>
      </c>
      <c r="L47" s="192"/>
      <c r="M47" s="21" t="s">
        <v>206</v>
      </c>
    </row>
    <row r="48" spans="2:13" x14ac:dyDescent="0.25">
      <c r="B48" s="189" t="s">
        <v>207</v>
      </c>
      <c r="C48" s="305" t="s">
        <v>208</v>
      </c>
      <c r="D48" s="305"/>
      <c r="E48" s="305"/>
      <c r="F48" s="305"/>
      <c r="G48" s="305"/>
      <c r="H48" s="305"/>
      <c r="I48" s="198">
        <v>2E-3</v>
      </c>
      <c r="J48" s="191">
        <f>TRUNC(($J$33+$J$39)*$I$48,2)</f>
        <v>7.87</v>
      </c>
      <c r="L48" s="192"/>
      <c r="M48" s="20" t="s">
        <v>204</v>
      </c>
    </row>
    <row r="49" spans="2:13" x14ac:dyDescent="0.25">
      <c r="B49" s="189" t="s">
        <v>209</v>
      </c>
      <c r="C49" s="305" t="s">
        <v>210</v>
      </c>
      <c r="D49" s="305"/>
      <c r="E49" s="305"/>
      <c r="F49" s="305"/>
      <c r="G49" s="305"/>
      <c r="H49" s="305"/>
      <c r="I49" s="198">
        <v>0.08</v>
      </c>
      <c r="J49" s="191">
        <f>TRUNC(($J$33+$J$39)*$I$49,2)</f>
        <v>314.85000000000002</v>
      </c>
      <c r="L49" s="192"/>
      <c r="M49" s="20" t="s">
        <v>211</v>
      </c>
    </row>
    <row r="50" spans="2:13" x14ac:dyDescent="0.25">
      <c r="B50" s="306" t="s">
        <v>212</v>
      </c>
      <c r="C50" s="306"/>
      <c r="D50" s="306"/>
      <c r="E50" s="306"/>
      <c r="F50" s="306"/>
      <c r="G50" s="306"/>
      <c r="H50" s="306"/>
      <c r="I50" s="201">
        <f>SUM(I42:I49)</f>
        <v>0.36800000000000005</v>
      </c>
      <c r="J50" s="196">
        <f>SUM(J42:J49)</f>
        <v>1448.3099999999995</v>
      </c>
    </row>
    <row r="51" spans="2:13" x14ac:dyDescent="0.25">
      <c r="B51" s="327"/>
      <c r="C51" s="327"/>
      <c r="D51" s="327"/>
      <c r="E51" s="327"/>
      <c r="F51" s="327"/>
      <c r="G51" s="327"/>
      <c r="H51" s="327"/>
      <c r="I51" s="327"/>
      <c r="J51" s="328"/>
    </row>
    <row r="52" spans="2:13" x14ac:dyDescent="0.25">
      <c r="B52" s="332" t="s">
        <v>213</v>
      </c>
      <c r="C52" s="332"/>
      <c r="D52" s="332"/>
      <c r="E52" s="332"/>
      <c r="F52" s="332"/>
      <c r="G52" s="332"/>
      <c r="H52" s="332"/>
      <c r="I52" s="203"/>
      <c r="J52" s="197" t="s">
        <v>171</v>
      </c>
      <c r="L52" s="141" t="s">
        <v>172</v>
      </c>
      <c r="M52" s="141" t="s">
        <v>173</v>
      </c>
    </row>
    <row r="53" spans="2:13" ht="25.5" x14ac:dyDescent="0.25">
      <c r="B53" s="189" t="s">
        <v>143</v>
      </c>
      <c r="C53" s="314" t="s">
        <v>214</v>
      </c>
      <c r="D53" s="314"/>
      <c r="E53" s="314"/>
      <c r="F53" s="314"/>
      <c r="G53" s="314"/>
      <c r="H53" s="314"/>
      <c r="I53" s="188" t="s">
        <v>24</v>
      </c>
      <c r="J53" s="204">
        <f>TRUNC((5.2*2*22)-(6%*J27),2)</f>
        <v>77.959999999999994</v>
      </c>
      <c r="L53" s="142" t="s">
        <v>215</v>
      </c>
      <c r="M53" s="142" t="s">
        <v>216</v>
      </c>
    </row>
    <row r="54" spans="2:13" x14ac:dyDescent="0.25">
      <c r="B54" s="189" t="s">
        <v>145</v>
      </c>
      <c r="C54" s="314" t="s">
        <v>217</v>
      </c>
      <c r="D54" s="314"/>
      <c r="E54" s="314"/>
      <c r="F54" s="314"/>
      <c r="G54" s="314"/>
      <c r="H54" s="314"/>
      <c r="I54" s="188" t="s">
        <v>24</v>
      </c>
      <c r="J54" s="205">
        <f>TRUNC(((30)*22*0.95),2)</f>
        <v>627</v>
      </c>
      <c r="L54" s="193" t="s">
        <v>218</v>
      </c>
      <c r="M54" s="193" t="s">
        <v>219</v>
      </c>
    </row>
    <row r="55" spans="2:13" x14ac:dyDescent="0.25">
      <c r="B55" s="189" t="s">
        <v>148</v>
      </c>
      <c r="C55" s="329" t="s">
        <v>220</v>
      </c>
      <c r="D55" s="330"/>
      <c r="E55" s="330"/>
      <c r="F55" s="330"/>
      <c r="G55" s="330"/>
      <c r="H55" s="331"/>
      <c r="I55" s="188" t="s">
        <v>24</v>
      </c>
      <c r="J55" s="205">
        <f>TRUNC(1%*J33,2)</f>
        <v>32.68</v>
      </c>
      <c r="L55" s="184"/>
      <c r="M55" s="193" t="s">
        <v>221</v>
      </c>
    </row>
    <row r="56" spans="2:13" x14ac:dyDescent="0.25">
      <c r="B56" s="189" t="s">
        <v>151</v>
      </c>
      <c r="C56" s="329" t="s">
        <v>222</v>
      </c>
      <c r="D56" s="330"/>
      <c r="E56" s="330"/>
      <c r="F56" s="330"/>
      <c r="G56" s="330"/>
      <c r="H56" s="331"/>
      <c r="I56" s="188" t="s">
        <v>24</v>
      </c>
      <c r="J56" s="205">
        <v>9.68</v>
      </c>
      <c r="L56" s="192"/>
      <c r="M56" s="193" t="s">
        <v>223</v>
      </c>
    </row>
    <row r="57" spans="2:13" x14ac:dyDescent="0.25">
      <c r="B57" s="189" t="s">
        <v>180</v>
      </c>
      <c r="C57" s="314" t="s">
        <v>224</v>
      </c>
      <c r="D57" s="314"/>
      <c r="E57" s="314"/>
      <c r="F57" s="314"/>
      <c r="G57" s="314"/>
      <c r="H57" s="314"/>
      <c r="I57" s="188" t="s">
        <v>24</v>
      </c>
      <c r="J57" s="204">
        <v>278.67</v>
      </c>
      <c r="L57" s="193"/>
      <c r="M57" s="193" t="s">
        <v>225</v>
      </c>
    </row>
    <row r="58" spans="2:13" x14ac:dyDescent="0.25">
      <c r="B58" s="306" t="s">
        <v>226</v>
      </c>
      <c r="C58" s="306"/>
      <c r="D58" s="306"/>
      <c r="E58" s="306"/>
      <c r="F58" s="306"/>
      <c r="G58" s="306"/>
      <c r="H58" s="306"/>
      <c r="I58" s="306"/>
      <c r="J58" s="196">
        <f>SUM(J53:J57)</f>
        <v>1025.99</v>
      </c>
    </row>
    <row r="59" spans="2:13" x14ac:dyDescent="0.25">
      <c r="B59" s="327"/>
      <c r="C59" s="327"/>
      <c r="D59" s="327"/>
      <c r="E59" s="327"/>
      <c r="F59" s="327"/>
      <c r="G59" s="327"/>
      <c r="H59" s="327"/>
      <c r="I59" s="327"/>
      <c r="J59" s="328"/>
    </row>
    <row r="60" spans="2:13" x14ac:dyDescent="0.25">
      <c r="B60" s="308" t="s">
        <v>227</v>
      </c>
      <c r="C60" s="308"/>
      <c r="D60" s="308"/>
      <c r="E60" s="308"/>
      <c r="F60" s="308"/>
      <c r="G60" s="308"/>
      <c r="H60" s="308"/>
      <c r="I60" s="308"/>
      <c r="J60" s="308"/>
    </row>
    <row r="61" spans="2:13" x14ac:dyDescent="0.25">
      <c r="B61" s="306" t="s">
        <v>228</v>
      </c>
      <c r="C61" s="306"/>
      <c r="D61" s="306"/>
      <c r="E61" s="306"/>
      <c r="F61" s="306"/>
      <c r="G61" s="306"/>
      <c r="H61" s="306"/>
      <c r="I61" s="306"/>
      <c r="J61" s="189" t="s">
        <v>171</v>
      </c>
    </row>
    <row r="62" spans="2:13" x14ac:dyDescent="0.25">
      <c r="B62" s="189" t="s">
        <v>229</v>
      </c>
      <c r="C62" s="305" t="s">
        <v>230</v>
      </c>
      <c r="D62" s="305"/>
      <c r="E62" s="305"/>
      <c r="F62" s="305"/>
      <c r="G62" s="305"/>
      <c r="H62" s="305"/>
      <c r="I62" s="305"/>
      <c r="J62" s="191">
        <f>J39</f>
        <v>667.66000000000008</v>
      </c>
    </row>
    <row r="63" spans="2:13" x14ac:dyDescent="0.25">
      <c r="B63" s="189" t="s">
        <v>231</v>
      </c>
      <c r="C63" s="305" t="s">
        <v>232</v>
      </c>
      <c r="D63" s="305"/>
      <c r="E63" s="305"/>
      <c r="F63" s="305"/>
      <c r="G63" s="305"/>
      <c r="H63" s="305"/>
      <c r="I63" s="305"/>
      <c r="J63" s="191">
        <f>J50</f>
        <v>1448.3099999999995</v>
      </c>
    </row>
    <row r="64" spans="2:13" x14ac:dyDescent="0.25">
      <c r="B64" s="189" t="s">
        <v>233</v>
      </c>
      <c r="C64" s="305" t="s">
        <v>234</v>
      </c>
      <c r="D64" s="305"/>
      <c r="E64" s="305"/>
      <c r="F64" s="305"/>
      <c r="G64" s="305"/>
      <c r="H64" s="305"/>
      <c r="I64" s="305"/>
      <c r="J64" s="191">
        <f>J58</f>
        <v>1025.99</v>
      </c>
    </row>
    <row r="65" spans="2:13" x14ac:dyDescent="0.25">
      <c r="B65" s="306" t="s">
        <v>235</v>
      </c>
      <c r="C65" s="306"/>
      <c r="D65" s="306"/>
      <c r="E65" s="306"/>
      <c r="F65" s="306"/>
      <c r="G65" s="306"/>
      <c r="H65" s="306"/>
      <c r="I65" s="306"/>
      <c r="J65" s="196">
        <f>SUM(J62:J64)</f>
        <v>3141.9599999999991</v>
      </c>
    </row>
    <row r="66" spans="2:13" x14ac:dyDescent="0.25">
      <c r="B66" s="315"/>
      <c r="C66" s="316"/>
      <c r="D66" s="316"/>
      <c r="E66" s="316"/>
      <c r="F66" s="316"/>
      <c r="G66" s="316"/>
      <c r="H66" s="316"/>
      <c r="I66" s="316"/>
      <c r="J66" s="316"/>
    </row>
    <row r="67" spans="2:13" x14ac:dyDescent="0.25">
      <c r="B67" s="317" t="s">
        <v>236</v>
      </c>
      <c r="C67" s="317"/>
      <c r="D67" s="317"/>
      <c r="E67" s="317"/>
      <c r="F67" s="317"/>
      <c r="G67" s="317"/>
      <c r="H67" s="317"/>
      <c r="I67" s="317"/>
      <c r="J67" s="317"/>
    </row>
    <row r="68" spans="2:13" x14ac:dyDescent="0.25">
      <c r="B68" s="189">
        <v>3</v>
      </c>
      <c r="C68" s="306" t="s">
        <v>237</v>
      </c>
      <c r="D68" s="306"/>
      <c r="E68" s="306"/>
      <c r="F68" s="306"/>
      <c r="G68" s="306"/>
      <c r="H68" s="306"/>
      <c r="I68" s="189" t="s">
        <v>170</v>
      </c>
      <c r="J68" s="189" t="s">
        <v>171</v>
      </c>
      <c r="L68" s="141" t="s">
        <v>172</v>
      </c>
      <c r="M68" s="141" t="s">
        <v>173</v>
      </c>
    </row>
    <row r="69" spans="2:13" ht="25.5" x14ac:dyDescent="0.25">
      <c r="B69" s="189" t="s">
        <v>143</v>
      </c>
      <c r="C69" s="305" t="s">
        <v>238</v>
      </c>
      <c r="D69" s="305"/>
      <c r="E69" s="305"/>
      <c r="F69" s="305"/>
      <c r="G69" s="305"/>
      <c r="H69" s="305"/>
      <c r="I69" s="198">
        <f>(1/12)*5%</f>
        <v>4.1666666666666666E-3</v>
      </c>
      <c r="J69" s="191">
        <f>TRUNC(I69*$J$33,2)</f>
        <v>13.61</v>
      </c>
      <c r="L69" s="206" t="s">
        <v>239</v>
      </c>
      <c r="M69" s="206" t="s">
        <v>240</v>
      </c>
    </row>
    <row r="70" spans="2:13" x14ac:dyDescent="0.25">
      <c r="B70" s="189" t="s">
        <v>145</v>
      </c>
      <c r="C70" s="305" t="s">
        <v>241</v>
      </c>
      <c r="D70" s="305"/>
      <c r="E70" s="305"/>
      <c r="F70" s="305"/>
      <c r="G70" s="305"/>
      <c r="H70" s="305"/>
      <c r="I70" s="198">
        <f>I49*I69</f>
        <v>3.3333333333333332E-4</v>
      </c>
      <c r="J70" s="191">
        <f>TRUNC(I70*$J$33,2)</f>
        <v>1.08</v>
      </c>
      <c r="L70" s="206" t="s">
        <v>242</v>
      </c>
      <c r="M70" s="206" t="s">
        <v>243</v>
      </c>
    </row>
    <row r="71" spans="2:13" x14ac:dyDescent="0.25">
      <c r="B71" s="189" t="s">
        <v>148</v>
      </c>
      <c r="C71" s="305" t="s">
        <v>244</v>
      </c>
      <c r="D71" s="305"/>
      <c r="E71" s="305"/>
      <c r="F71" s="305"/>
      <c r="G71" s="305"/>
      <c r="H71" s="305"/>
      <c r="I71" s="198">
        <f>((7/30)/12)</f>
        <v>1.9444444444444445E-2</v>
      </c>
      <c r="J71" s="191">
        <f t="shared" ref="J71:J72" si="1">TRUNC(I71*$J$33,2)</f>
        <v>63.54</v>
      </c>
      <c r="L71" s="206" t="s">
        <v>245</v>
      </c>
      <c r="M71" s="206" t="s">
        <v>246</v>
      </c>
    </row>
    <row r="72" spans="2:13" ht="25.5" x14ac:dyDescent="0.25">
      <c r="B72" s="189" t="s">
        <v>151</v>
      </c>
      <c r="C72" s="305" t="s">
        <v>247</v>
      </c>
      <c r="D72" s="305"/>
      <c r="E72" s="305"/>
      <c r="F72" s="305"/>
      <c r="G72" s="305"/>
      <c r="H72" s="305"/>
      <c r="I72" s="200">
        <f>I50*I71</f>
        <v>7.1555555555555565E-3</v>
      </c>
      <c r="J72" s="191">
        <f t="shared" si="1"/>
        <v>23.38</v>
      </c>
      <c r="L72" s="206" t="s">
        <v>248</v>
      </c>
    </row>
    <row r="73" spans="2:13" ht="25.5" x14ac:dyDescent="0.25">
      <c r="B73" s="189" t="s">
        <v>180</v>
      </c>
      <c r="C73" s="322" t="s">
        <v>249</v>
      </c>
      <c r="D73" s="322"/>
      <c r="E73" s="322"/>
      <c r="F73" s="322"/>
      <c r="G73" s="322"/>
      <c r="H73" s="322"/>
      <c r="I73" s="198">
        <v>0.04</v>
      </c>
      <c r="J73" s="191">
        <f>TRUNC(I73*$J$33,2)</f>
        <v>130.72</v>
      </c>
      <c r="L73" s="207" t="s">
        <v>250</v>
      </c>
      <c r="M73" s="208" t="s">
        <v>251</v>
      </c>
    </row>
    <row r="74" spans="2:13" x14ac:dyDescent="0.25">
      <c r="B74" s="306" t="s">
        <v>252</v>
      </c>
      <c r="C74" s="306"/>
      <c r="D74" s="306"/>
      <c r="E74" s="306"/>
      <c r="F74" s="306"/>
      <c r="G74" s="306"/>
      <c r="H74" s="306"/>
      <c r="I74" s="201">
        <f>SUM(I69:I73)</f>
        <v>7.1099999999999997E-2</v>
      </c>
      <c r="J74" s="196">
        <f>SUM(J69:J73)</f>
        <v>232.32999999999998</v>
      </c>
    </row>
    <row r="75" spans="2:13" ht="40.35" customHeight="1" x14ac:dyDescent="0.25">
      <c r="B75" s="209" t="s">
        <v>253</v>
      </c>
      <c r="C75" s="325" t="s">
        <v>254</v>
      </c>
      <c r="D75" s="325"/>
      <c r="E75" s="325"/>
      <c r="F75" s="325"/>
      <c r="G75" s="325"/>
      <c r="H75" s="325"/>
      <c r="I75" s="325"/>
      <c r="J75" s="326"/>
    </row>
    <row r="76" spans="2:13" x14ac:dyDescent="0.25">
      <c r="B76" s="323"/>
      <c r="C76" s="324"/>
      <c r="D76" s="324"/>
      <c r="E76" s="324"/>
      <c r="F76" s="324"/>
      <c r="G76" s="324"/>
      <c r="H76" s="324"/>
      <c r="I76" s="324"/>
      <c r="J76" s="324"/>
    </row>
    <row r="77" spans="2:13" x14ac:dyDescent="0.25">
      <c r="B77" s="317" t="s">
        <v>255</v>
      </c>
      <c r="C77" s="317"/>
      <c r="D77" s="317"/>
      <c r="E77" s="317"/>
      <c r="F77" s="317"/>
      <c r="G77" s="317"/>
      <c r="H77" s="317"/>
      <c r="I77" s="317"/>
      <c r="J77" s="317"/>
    </row>
    <row r="78" spans="2:13" x14ac:dyDescent="0.25">
      <c r="B78" s="306" t="s">
        <v>256</v>
      </c>
      <c r="C78" s="306"/>
      <c r="D78" s="306"/>
      <c r="E78" s="306"/>
      <c r="F78" s="306"/>
      <c r="G78" s="306"/>
      <c r="H78" s="306"/>
      <c r="I78" s="189" t="s">
        <v>170</v>
      </c>
      <c r="J78" s="189" t="s">
        <v>171</v>
      </c>
      <c r="L78" s="141" t="s">
        <v>172</v>
      </c>
      <c r="M78" s="141" t="s">
        <v>173</v>
      </c>
    </row>
    <row r="79" spans="2:13" ht="25.5" x14ac:dyDescent="0.25">
      <c r="B79" s="189" t="s">
        <v>143</v>
      </c>
      <c r="C79" s="305" t="s">
        <v>257</v>
      </c>
      <c r="D79" s="305"/>
      <c r="E79" s="305"/>
      <c r="F79" s="305"/>
      <c r="G79" s="305"/>
      <c r="H79" s="305"/>
      <c r="I79" s="198">
        <f>(1/12/12)+(1/12/12)+(1/12/12/3)</f>
        <v>1.6203703703703703E-2</v>
      </c>
      <c r="J79" s="191">
        <f>TRUNC(($J$33)*I79,2)</f>
        <v>52.95</v>
      </c>
      <c r="L79" s="206" t="s">
        <v>258</v>
      </c>
      <c r="M79" s="206" t="s">
        <v>259</v>
      </c>
    </row>
    <row r="80" spans="2:13" x14ac:dyDescent="0.25">
      <c r="B80" s="189" t="s">
        <v>145</v>
      </c>
      <c r="C80" s="305" t="s">
        <v>260</v>
      </c>
      <c r="D80" s="305"/>
      <c r="E80" s="305"/>
      <c r="F80" s="305"/>
      <c r="G80" s="305"/>
      <c r="H80" s="305"/>
      <c r="I80" s="198">
        <f>((1/30))/12</f>
        <v>2.7777777777777779E-3</v>
      </c>
      <c r="J80" s="191">
        <f t="shared" ref="J80:J84" si="2">TRUNC(($J$33)*I80,2)</f>
        <v>9.07</v>
      </c>
      <c r="L80" s="206" t="s">
        <v>261</v>
      </c>
      <c r="M80" s="206" t="s">
        <v>262</v>
      </c>
    </row>
    <row r="81" spans="2:13" ht="25.5" x14ac:dyDescent="0.25">
      <c r="B81" s="189" t="s">
        <v>148</v>
      </c>
      <c r="C81" s="305" t="s">
        <v>263</v>
      </c>
      <c r="D81" s="305"/>
      <c r="E81" s="305"/>
      <c r="F81" s="305"/>
      <c r="G81" s="305"/>
      <c r="H81" s="305"/>
      <c r="I81" s="198">
        <f>((5/30)/12)*1.5%</f>
        <v>2.0833333333333332E-4</v>
      </c>
      <c r="J81" s="191">
        <f t="shared" si="2"/>
        <v>0.68</v>
      </c>
      <c r="L81" s="206" t="s">
        <v>264</v>
      </c>
      <c r="M81" s="199" t="s">
        <v>265</v>
      </c>
    </row>
    <row r="82" spans="2:13" ht="25.5" x14ac:dyDescent="0.25">
      <c r="B82" s="189" t="s">
        <v>151</v>
      </c>
      <c r="C82" s="305" t="s">
        <v>266</v>
      </c>
      <c r="D82" s="305"/>
      <c r="E82" s="305"/>
      <c r="F82" s="305"/>
      <c r="G82" s="305"/>
      <c r="H82" s="305"/>
      <c r="I82" s="198">
        <f>((15/30)/12)*8%</f>
        <v>3.3333333333333331E-3</v>
      </c>
      <c r="J82" s="191">
        <f t="shared" si="2"/>
        <v>10.89</v>
      </c>
      <c r="L82" s="206" t="s">
        <v>267</v>
      </c>
      <c r="M82" s="199" t="s">
        <v>268</v>
      </c>
    </row>
    <row r="83" spans="2:13" ht="25.5" x14ac:dyDescent="0.25">
      <c r="B83" s="189" t="s">
        <v>180</v>
      </c>
      <c r="C83" s="305" t="s">
        <v>269</v>
      </c>
      <c r="D83" s="305"/>
      <c r="E83" s="305"/>
      <c r="F83" s="305"/>
      <c r="G83" s="305"/>
      <c r="H83" s="305"/>
      <c r="I83" s="198">
        <f>(((4*8.33%)+(4*2.78%))/12)*2%</f>
        <v>7.4066666666666671E-4</v>
      </c>
      <c r="J83" s="191">
        <f t="shared" si="2"/>
        <v>2.42</v>
      </c>
      <c r="L83" s="206" t="s">
        <v>270</v>
      </c>
      <c r="M83" s="199" t="s">
        <v>271</v>
      </c>
    </row>
    <row r="84" spans="2:13" x14ac:dyDescent="0.25">
      <c r="B84" s="189" t="s">
        <v>182</v>
      </c>
      <c r="C84" s="305" t="s">
        <v>272</v>
      </c>
      <c r="D84" s="305"/>
      <c r="E84" s="305"/>
      <c r="F84" s="305"/>
      <c r="G84" s="305"/>
      <c r="H84" s="305"/>
      <c r="I84" s="198">
        <v>0</v>
      </c>
      <c r="J84" s="191">
        <f t="shared" si="2"/>
        <v>0</v>
      </c>
    </row>
    <row r="85" spans="2:13" x14ac:dyDescent="0.25">
      <c r="B85" s="306" t="s">
        <v>273</v>
      </c>
      <c r="C85" s="306"/>
      <c r="D85" s="306"/>
      <c r="E85" s="306"/>
      <c r="F85" s="306"/>
      <c r="G85" s="306"/>
      <c r="H85" s="306"/>
      <c r="I85" s="201">
        <f>SUM(I79:I84)</f>
        <v>2.3263814814814817E-2</v>
      </c>
      <c r="J85" s="196">
        <f>SUM(J79:J84)</f>
        <v>76.010000000000005</v>
      </c>
    </row>
    <row r="86" spans="2:13" x14ac:dyDescent="0.25">
      <c r="B86" s="320"/>
      <c r="C86" s="321"/>
      <c r="D86" s="321"/>
      <c r="E86" s="321"/>
      <c r="F86" s="321"/>
      <c r="G86" s="321"/>
      <c r="H86" s="321"/>
      <c r="I86" s="321"/>
      <c r="J86" s="321"/>
    </row>
    <row r="87" spans="2:13" x14ac:dyDescent="0.25">
      <c r="B87" s="306" t="s">
        <v>274</v>
      </c>
      <c r="C87" s="306"/>
      <c r="D87" s="306"/>
      <c r="E87" s="306"/>
      <c r="F87" s="306"/>
      <c r="G87" s="306"/>
      <c r="H87" s="306"/>
      <c r="I87" s="189" t="s">
        <v>170</v>
      </c>
      <c r="J87" s="189" t="s">
        <v>171</v>
      </c>
    </row>
    <row r="88" spans="2:13" x14ac:dyDescent="0.25">
      <c r="B88" s="189" t="s">
        <v>143</v>
      </c>
      <c r="C88" s="322" t="s">
        <v>275</v>
      </c>
      <c r="D88" s="305"/>
      <c r="E88" s="305"/>
      <c r="F88" s="305"/>
      <c r="G88" s="305"/>
      <c r="H88" s="305"/>
      <c r="I88" s="198">
        <v>0</v>
      </c>
      <c r="J88" s="191">
        <v>0</v>
      </c>
    </row>
    <row r="89" spans="2:13" x14ac:dyDescent="0.25">
      <c r="B89" s="306" t="s">
        <v>276</v>
      </c>
      <c r="C89" s="306"/>
      <c r="D89" s="306"/>
      <c r="E89" s="306"/>
      <c r="F89" s="306"/>
      <c r="G89" s="306"/>
      <c r="H89" s="306"/>
      <c r="I89" s="201">
        <v>0</v>
      </c>
      <c r="J89" s="196">
        <v>0</v>
      </c>
    </row>
    <row r="90" spans="2:13" x14ac:dyDescent="0.25">
      <c r="B90" s="318"/>
      <c r="C90" s="319"/>
      <c r="D90" s="319"/>
      <c r="E90" s="319"/>
      <c r="F90" s="319"/>
      <c r="G90" s="319"/>
      <c r="H90" s="319"/>
      <c r="I90" s="319"/>
      <c r="J90" s="319"/>
    </row>
    <row r="91" spans="2:13" x14ac:dyDescent="0.25">
      <c r="B91" s="308" t="s">
        <v>277</v>
      </c>
      <c r="C91" s="308"/>
      <c r="D91" s="308"/>
      <c r="E91" s="308"/>
      <c r="F91" s="308"/>
      <c r="G91" s="308"/>
      <c r="H91" s="308"/>
      <c r="I91" s="308"/>
      <c r="J91" s="308"/>
    </row>
    <row r="92" spans="2:13" x14ac:dyDescent="0.25">
      <c r="B92" s="306" t="s">
        <v>278</v>
      </c>
      <c r="C92" s="306"/>
      <c r="D92" s="306"/>
      <c r="E92" s="306"/>
      <c r="F92" s="306"/>
      <c r="G92" s="306"/>
      <c r="H92" s="306"/>
      <c r="I92" s="306"/>
      <c r="J92" s="189" t="s">
        <v>171</v>
      </c>
    </row>
    <row r="93" spans="2:13" x14ac:dyDescent="0.25">
      <c r="B93" s="189" t="s">
        <v>279</v>
      </c>
      <c r="C93" s="305" t="s">
        <v>280</v>
      </c>
      <c r="D93" s="305"/>
      <c r="E93" s="305"/>
      <c r="F93" s="305"/>
      <c r="G93" s="305"/>
      <c r="H93" s="305"/>
      <c r="I93" s="305"/>
      <c r="J93" s="191">
        <f>J85</f>
        <v>76.010000000000005</v>
      </c>
    </row>
    <row r="94" spans="2:13" x14ac:dyDescent="0.25">
      <c r="B94" s="189" t="s">
        <v>281</v>
      </c>
      <c r="C94" s="305" t="s">
        <v>282</v>
      </c>
      <c r="D94" s="305"/>
      <c r="E94" s="305"/>
      <c r="F94" s="305"/>
      <c r="G94" s="305"/>
      <c r="H94" s="305"/>
      <c r="I94" s="305"/>
      <c r="J94" s="191">
        <f>J89</f>
        <v>0</v>
      </c>
    </row>
    <row r="95" spans="2:13" x14ac:dyDescent="0.25">
      <c r="B95" s="306" t="s">
        <v>283</v>
      </c>
      <c r="C95" s="306"/>
      <c r="D95" s="306"/>
      <c r="E95" s="306"/>
      <c r="F95" s="306"/>
      <c r="G95" s="306"/>
      <c r="H95" s="306"/>
      <c r="I95" s="306"/>
      <c r="J95" s="196">
        <f>SUM(J93:J94)</f>
        <v>76.010000000000005</v>
      </c>
    </row>
    <row r="96" spans="2:13" x14ac:dyDescent="0.25">
      <c r="B96" s="315"/>
      <c r="C96" s="316"/>
      <c r="D96" s="316"/>
      <c r="E96" s="316"/>
      <c r="F96" s="316"/>
      <c r="G96" s="316"/>
      <c r="H96" s="316"/>
      <c r="I96" s="316"/>
      <c r="J96" s="316"/>
    </row>
    <row r="97" spans="2:13" x14ac:dyDescent="0.25">
      <c r="B97" s="317" t="s">
        <v>284</v>
      </c>
      <c r="C97" s="317"/>
      <c r="D97" s="317"/>
      <c r="E97" s="317"/>
      <c r="F97" s="317"/>
      <c r="G97" s="317"/>
      <c r="H97" s="317"/>
      <c r="I97" s="317"/>
      <c r="J97" s="317"/>
    </row>
    <row r="98" spans="2:13" x14ac:dyDescent="0.25">
      <c r="B98" s="189">
        <v>5</v>
      </c>
      <c r="C98" s="306" t="s">
        <v>285</v>
      </c>
      <c r="D98" s="306"/>
      <c r="E98" s="306"/>
      <c r="F98" s="306"/>
      <c r="G98" s="306"/>
      <c r="H98" s="306"/>
      <c r="I98" s="189"/>
      <c r="J98" s="189" t="s">
        <v>171</v>
      </c>
      <c r="L98"/>
      <c r="M98"/>
    </row>
    <row r="99" spans="2:13" x14ac:dyDescent="0.25">
      <c r="B99" s="189" t="s">
        <v>143</v>
      </c>
      <c r="C99" s="314" t="s">
        <v>286</v>
      </c>
      <c r="D99" s="314"/>
      <c r="E99" s="314"/>
      <c r="F99" s="314"/>
      <c r="G99" s="314"/>
      <c r="H99" s="314"/>
      <c r="I99" s="198" t="s">
        <v>24</v>
      </c>
      <c r="J99" s="210">
        <f>Uniformes!F13</f>
        <v>87.95750000000001</v>
      </c>
      <c r="L99"/>
      <c r="M99"/>
    </row>
    <row r="100" spans="2:13" x14ac:dyDescent="0.25">
      <c r="B100" s="189" t="s">
        <v>145</v>
      </c>
      <c r="C100" s="314" t="s">
        <v>287</v>
      </c>
      <c r="D100" s="314"/>
      <c r="E100" s="314"/>
      <c r="F100" s="314"/>
      <c r="G100" s="314"/>
      <c r="H100" s="314"/>
      <c r="I100" s="198" t="s">
        <v>24</v>
      </c>
      <c r="J100" s="210">
        <f>Ferramentas!E77</f>
        <v>112.57906666666665</v>
      </c>
      <c r="L100"/>
      <c r="M100"/>
    </row>
    <row r="101" spans="2:13" x14ac:dyDescent="0.25">
      <c r="B101" s="202" t="s">
        <v>148</v>
      </c>
      <c r="C101" s="314" t="s">
        <v>183</v>
      </c>
      <c r="D101" s="314"/>
      <c r="E101" s="314"/>
      <c r="F101" s="314"/>
      <c r="G101" s="314"/>
      <c r="H101" s="314"/>
      <c r="I101" s="188"/>
      <c r="J101" s="191"/>
    </row>
    <row r="102" spans="2:13" x14ac:dyDescent="0.25">
      <c r="B102" s="202" t="s">
        <v>151</v>
      </c>
      <c r="C102" s="314" t="s">
        <v>183</v>
      </c>
      <c r="D102" s="314"/>
      <c r="E102" s="314"/>
      <c r="F102" s="314"/>
      <c r="G102" s="314"/>
      <c r="H102" s="314"/>
      <c r="I102" s="188" t="s">
        <v>24</v>
      </c>
      <c r="J102" s="191">
        <v>0</v>
      </c>
    </row>
    <row r="103" spans="2:13" x14ac:dyDescent="0.25">
      <c r="B103" s="306" t="s">
        <v>288</v>
      </c>
      <c r="C103" s="306"/>
      <c r="D103" s="306"/>
      <c r="E103" s="306"/>
      <c r="F103" s="306"/>
      <c r="G103" s="306"/>
      <c r="H103" s="306"/>
      <c r="I103" s="201" t="s">
        <v>24</v>
      </c>
      <c r="J103" s="196">
        <f>SUM(J99:J102)</f>
        <v>200.53656666666666</v>
      </c>
    </row>
    <row r="104" spans="2:13" x14ac:dyDescent="0.25">
      <c r="B104" s="315"/>
      <c r="C104" s="316"/>
      <c r="D104" s="316"/>
      <c r="E104" s="316"/>
      <c r="F104" s="316"/>
      <c r="G104" s="316"/>
      <c r="H104" s="316"/>
      <c r="I104" s="316"/>
      <c r="J104" s="316"/>
    </row>
    <row r="105" spans="2:13" x14ac:dyDescent="0.25">
      <c r="B105" s="317" t="s">
        <v>289</v>
      </c>
      <c r="C105" s="317"/>
      <c r="D105" s="317"/>
      <c r="E105" s="317"/>
      <c r="F105" s="317"/>
      <c r="G105" s="317"/>
      <c r="H105" s="317"/>
      <c r="I105" s="317"/>
      <c r="J105" s="317"/>
    </row>
    <row r="106" spans="2:13" x14ac:dyDescent="0.25">
      <c r="B106" s="189">
        <v>6</v>
      </c>
      <c r="C106" s="306" t="s">
        <v>290</v>
      </c>
      <c r="D106" s="306"/>
      <c r="E106" s="306"/>
      <c r="F106" s="306"/>
      <c r="G106" s="306"/>
      <c r="H106" s="306"/>
      <c r="I106" s="189" t="s">
        <v>170</v>
      </c>
      <c r="J106" s="189" t="s">
        <v>171</v>
      </c>
      <c r="L106" s="141" t="s">
        <v>172</v>
      </c>
      <c r="M106" s="141" t="s">
        <v>173</v>
      </c>
    </row>
    <row r="107" spans="2:13" x14ac:dyDescent="0.25">
      <c r="B107" s="189" t="s">
        <v>143</v>
      </c>
      <c r="C107" s="305" t="s">
        <v>291</v>
      </c>
      <c r="D107" s="305"/>
      <c r="E107" s="305"/>
      <c r="F107" s="305"/>
      <c r="G107" s="305"/>
      <c r="H107" s="305"/>
      <c r="I107" s="211">
        <v>5.2699999999999997E-2</v>
      </c>
      <c r="J107" s="191">
        <f>TRUNC(((J131)*I107),2)</f>
        <v>364.62</v>
      </c>
      <c r="L107" s="184"/>
      <c r="M107" s="184" t="s">
        <v>292</v>
      </c>
    </row>
    <row r="108" spans="2:13" x14ac:dyDescent="0.25">
      <c r="B108" s="189" t="s">
        <v>145</v>
      </c>
      <c r="C108" s="305" t="s">
        <v>293</v>
      </c>
      <c r="D108" s="305"/>
      <c r="E108" s="305"/>
      <c r="F108" s="305"/>
      <c r="G108" s="305"/>
      <c r="H108" s="305"/>
      <c r="I108" s="211">
        <v>6.0699999999999997E-2</v>
      </c>
      <c r="J108" s="191">
        <f>TRUNC(((J131+J107)*I108),2)</f>
        <v>442.11</v>
      </c>
      <c r="L108" s="184"/>
      <c r="M108" s="184" t="s">
        <v>294</v>
      </c>
    </row>
    <row r="109" spans="2:13" x14ac:dyDescent="0.25">
      <c r="B109" s="189" t="s">
        <v>148</v>
      </c>
      <c r="C109" s="313" t="s">
        <v>295</v>
      </c>
      <c r="D109" s="313"/>
      <c r="E109" s="313"/>
      <c r="F109" s="313"/>
      <c r="G109" s="313"/>
      <c r="H109" s="313"/>
      <c r="I109" s="194"/>
      <c r="J109" s="212"/>
      <c r="L109" s="22"/>
      <c r="M109" s="22"/>
    </row>
    <row r="110" spans="2:13" x14ac:dyDescent="0.25">
      <c r="B110" s="189" t="s">
        <v>296</v>
      </c>
      <c r="C110" s="305" t="s">
        <v>297</v>
      </c>
      <c r="D110" s="305"/>
      <c r="E110" s="305"/>
      <c r="F110" s="305"/>
      <c r="G110" s="305"/>
      <c r="H110" s="305"/>
      <c r="I110" s="213">
        <v>6.4999999999999997E-3</v>
      </c>
      <c r="J110" s="191">
        <f>TRUNC(I110*((J131+J107+J108)/(1-I115)),2)</f>
        <v>53.79</v>
      </c>
      <c r="L110" s="184"/>
      <c r="M110" s="184" t="s">
        <v>298</v>
      </c>
    </row>
    <row r="111" spans="2:13" x14ac:dyDescent="0.25">
      <c r="B111" s="189" t="s">
        <v>299</v>
      </c>
      <c r="C111" s="305" t="s">
        <v>300</v>
      </c>
      <c r="D111" s="305"/>
      <c r="E111" s="305"/>
      <c r="F111" s="305"/>
      <c r="G111" s="305"/>
      <c r="H111" s="305"/>
      <c r="I111" s="213">
        <v>0.03</v>
      </c>
      <c r="J111" s="191">
        <f>TRUNC(I111*(J131+J107+J108)/(1-I115),2)</f>
        <v>248.28</v>
      </c>
      <c r="L111" s="184"/>
      <c r="M111" s="184" t="s">
        <v>301</v>
      </c>
    </row>
    <row r="112" spans="2:13" x14ac:dyDescent="0.25">
      <c r="B112" s="189" t="s">
        <v>302</v>
      </c>
      <c r="C112" s="305" t="s">
        <v>303</v>
      </c>
      <c r="D112" s="305"/>
      <c r="E112" s="305"/>
      <c r="F112" s="305"/>
      <c r="G112" s="305"/>
      <c r="H112" s="305"/>
      <c r="I112" s="213">
        <v>0.03</v>
      </c>
      <c r="J112" s="191">
        <f>TRUNC(I112*(J131+J107+J108)/(1-I115),2)</f>
        <v>248.28</v>
      </c>
      <c r="L112" s="23"/>
      <c r="M112" s="23" t="s">
        <v>304</v>
      </c>
    </row>
    <row r="113" spans="2:13" x14ac:dyDescent="0.25">
      <c r="B113" s="306" t="s">
        <v>305</v>
      </c>
      <c r="C113" s="306"/>
      <c r="D113" s="306"/>
      <c r="E113" s="306"/>
      <c r="F113" s="306"/>
      <c r="G113" s="306"/>
      <c r="H113" s="306"/>
      <c r="I113" s="213">
        <f>SUM(I107:I112)</f>
        <v>0.1799</v>
      </c>
      <c r="J113" s="196">
        <f>SUM(J107:J112)</f>
        <v>1357.08</v>
      </c>
    </row>
    <row r="114" spans="2:13" x14ac:dyDescent="0.25">
      <c r="B114" s="69"/>
      <c r="C114" s="309"/>
      <c r="D114" s="309"/>
      <c r="E114" s="309"/>
      <c r="F114" s="309"/>
      <c r="G114" s="309"/>
      <c r="H114" s="309"/>
      <c r="I114" s="309"/>
      <c r="J114" s="309"/>
      <c r="L114" s="22"/>
      <c r="M114" s="22"/>
    </row>
    <row r="115" spans="2:13" x14ac:dyDescent="0.25">
      <c r="B115" s="143" t="s">
        <v>306</v>
      </c>
      <c r="C115" s="310" t="s">
        <v>307</v>
      </c>
      <c r="D115" s="310"/>
      <c r="E115" s="310"/>
      <c r="F115" s="310"/>
      <c r="G115" s="310"/>
      <c r="H115" s="310"/>
      <c r="I115" s="144">
        <f>I110+I111+I112</f>
        <v>6.6500000000000004E-2</v>
      </c>
      <c r="J115" s="145"/>
    </row>
    <row r="116" spans="2:13" x14ac:dyDescent="0.25">
      <c r="B116" s="3"/>
      <c r="C116" s="311">
        <v>100</v>
      </c>
      <c r="D116" s="311"/>
      <c r="E116" s="311"/>
      <c r="F116" s="311"/>
      <c r="G116" s="311"/>
      <c r="H116" s="311"/>
      <c r="I116" s="4"/>
      <c r="J116" s="5"/>
    </row>
    <row r="117" spans="2:13" x14ac:dyDescent="0.25">
      <c r="B117" s="6"/>
      <c r="C117" s="68"/>
      <c r="D117" s="68"/>
      <c r="E117" s="68"/>
      <c r="F117" s="68"/>
      <c r="G117" s="68"/>
      <c r="H117" s="68"/>
      <c r="I117" s="4"/>
      <c r="J117" s="5"/>
    </row>
    <row r="118" spans="2:13" x14ac:dyDescent="0.25">
      <c r="B118" s="3" t="s">
        <v>308</v>
      </c>
      <c r="C118" s="311" t="s">
        <v>309</v>
      </c>
      <c r="D118" s="311"/>
      <c r="E118" s="311"/>
      <c r="F118" s="311"/>
      <c r="G118" s="311"/>
      <c r="H118" s="311"/>
      <c r="I118" s="4"/>
      <c r="J118" s="5">
        <f>J33+J65+J74+J95+J103+J107+J108</f>
        <v>7725.6465666666654</v>
      </c>
    </row>
    <row r="119" spans="2:13" x14ac:dyDescent="0.25">
      <c r="B119" s="3"/>
      <c r="C119" s="68"/>
      <c r="D119" s="68"/>
      <c r="E119" s="68"/>
      <c r="F119" s="68"/>
      <c r="G119" s="68"/>
      <c r="H119" s="68"/>
      <c r="I119" s="4"/>
      <c r="J119" s="5"/>
    </row>
    <row r="120" spans="2:13" x14ac:dyDescent="0.25">
      <c r="B120" s="3" t="s">
        <v>310</v>
      </c>
      <c r="C120" s="311" t="s">
        <v>311</v>
      </c>
      <c r="D120" s="311"/>
      <c r="E120" s="311"/>
      <c r="F120" s="311"/>
      <c r="G120" s="311"/>
      <c r="H120" s="311"/>
      <c r="I120" s="4"/>
      <c r="J120" s="5">
        <f>TRUNC(J118/(1-I115),2)</f>
        <v>8276</v>
      </c>
    </row>
    <row r="121" spans="2:13" x14ac:dyDescent="0.25">
      <c r="B121" s="3"/>
      <c r="C121" s="68"/>
      <c r="D121" s="68"/>
      <c r="E121" s="68"/>
      <c r="F121" s="68"/>
      <c r="G121" s="68"/>
      <c r="H121" s="68"/>
      <c r="I121" s="4"/>
      <c r="J121" s="5"/>
    </row>
    <row r="122" spans="2:13" x14ac:dyDescent="0.25">
      <c r="B122" s="7"/>
      <c r="C122" s="312" t="s">
        <v>312</v>
      </c>
      <c r="D122" s="312"/>
      <c r="E122" s="312"/>
      <c r="F122" s="312"/>
      <c r="G122" s="312"/>
      <c r="H122" s="312"/>
      <c r="I122" s="8"/>
      <c r="J122" s="9">
        <f>J120-J118</f>
        <v>550.35343333333458</v>
      </c>
    </row>
    <row r="123" spans="2:13" x14ac:dyDescent="0.25">
      <c r="B123" s="69"/>
      <c r="C123" s="69"/>
      <c r="D123" s="69"/>
      <c r="E123" s="69"/>
      <c r="F123" s="69"/>
      <c r="G123" s="69"/>
      <c r="H123" s="69"/>
      <c r="I123" s="69"/>
      <c r="J123" s="2"/>
    </row>
    <row r="124" spans="2:13" x14ac:dyDescent="0.25">
      <c r="B124" s="308" t="s">
        <v>313</v>
      </c>
      <c r="C124" s="308"/>
      <c r="D124" s="308"/>
      <c r="E124" s="308"/>
      <c r="F124" s="308"/>
      <c r="G124" s="308"/>
      <c r="H124" s="308"/>
      <c r="I124" s="308"/>
      <c r="J124" s="308"/>
    </row>
    <row r="125" spans="2:13" x14ac:dyDescent="0.25">
      <c r="B125" s="306" t="s">
        <v>314</v>
      </c>
      <c r="C125" s="306"/>
      <c r="D125" s="306"/>
      <c r="E125" s="306"/>
      <c r="F125" s="306"/>
      <c r="G125" s="306"/>
      <c r="H125" s="306"/>
      <c r="I125" s="306"/>
      <c r="J125" s="189" t="s">
        <v>171</v>
      </c>
    </row>
    <row r="126" spans="2:13" x14ac:dyDescent="0.25">
      <c r="B126" s="188" t="s">
        <v>143</v>
      </c>
      <c r="C126" s="305" t="s">
        <v>168</v>
      </c>
      <c r="D126" s="305"/>
      <c r="E126" s="305"/>
      <c r="F126" s="305"/>
      <c r="G126" s="305"/>
      <c r="H126" s="305"/>
      <c r="I126" s="305"/>
      <c r="J126" s="191">
        <f>J33</f>
        <v>3268.08</v>
      </c>
    </row>
    <row r="127" spans="2:13" x14ac:dyDescent="0.25">
      <c r="B127" s="188" t="s">
        <v>145</v>
      </c>
      <c r="C127" s="305" t="s">
        <v>185</v>
      </c>
      <c r="D127" s="305"/>
      <c r="E127" s="305"/>
      <c r="F127" s="305"/>
      <c r="G127" s="305"/>
      <c r="H127" s="305"/>
      <c r="I127" s="305"/>
      <c r="J127" s="191">
        <f>J65</f>
        <v>3141.9599999999991</v>
      </c>
    </row>
    <row r="128" spans="2:13" x14ac:dyDescent="0.25">
      <c r="B128" s="188" t="s">
        <v>148</v>
      </c>
      <c r="C128" s="305" t="s">
        <v>236</v>
      </c>
      <c r="D128" s="305"/>
      <c r="E128" s="305"/>
      <c r="F128" s="305"/>
      <c r="G128" s="305"/>
      <c r="H128" s="305"/>
      <c r="I128" s="305"/>
      <c r="J128" s="191">
        <f>J74</f>
        <v>232.32999999999998</v>
      </c>
    </row>
    <row r="129" spans="2:10" x14ac:dyDescent="0.25">
      <c r="B129" s="188" t="s">
        <v>151</v>
      </c>
      <c r="C129" s="305" t="s">
        <v>255</v>
      </c>
      <c r="D129" s="305"/>
      <c r="E129" s="305"/>
      <c r="F129" s="305"/>
      <c r="G129" s="305"/>
      <c r="H129" s="305"/>
      <c r="I129" s="305"/>
      <c r="J129" s="191">
        <f>J95</f>
        <v>76.010000000000005</v>
      </c>
    </row>
    <row r="130" spans="2:10" x14ac:dyDescent="0.25">
      <c r="B130" s="188" t="s">
        <v>180</v>
      </c>
      <c r="C130" s="305" t="s">
        <v>284</v>
      </c>
      <c r="D130" s="305"/>
      <c r="E130" s="305"/>
      <c r="F130" s="305"/>
      <c r="G130" s="305"/>
      <c r="H130" s="305"/>
      <c r="I130" s="305"/>
      <c r="J130" s="191">
        <f>J103</f>
        <v>200.53656666666666</v>
      </c>
    </row>
    <row r="131" spans="2:10" x14ac:dyDescent="0.25">
      <c r="B131" s="189"/>
      <c r="C131" s="306" t="s">
        <v>315</v>
      </c>
      <c r="D131" s="306"/>
      <c r="E131" s="306"/>
      <c r="F131" s="306"/>
      <c r="G131" s="306"/>
      <c r="H131" s="306"/>
      <c r="I131" s="306"/>
      <c r="J131" s="196">
        <f>SUM(J126:J130)</f>
        <v>6918.9165666666659</v>
      </c>
    </row>
    <row r="132" spans="2:10" x14ac:dyDescent="0.25">
      <c r="B132" s="188" t="s">
        <v>182</v>
      </c>
      <c r="C132" s="305" t="s">
        <v>289</v>
      </c>
      <c r="D132" s="305"/>
      <c r="E132" s="305"/>
      <c r="F132" s="305"/>
      <c r="G132" s="305"/>
      <c r="H132" s="305"/>
      <c r="I132" s="305"/>
      <c r="J132" s="191">
        <f>J113</f>
        <v>1357.08</v>
      </c>
    </row>
    <row r="133" spans="2:10" ht="18" x14ac:dyDescent="0.25">
      <c r="B133" s="307" t="s">
        <v>316</v>
      </c>
      <c r="C133" s="307"/>
      <c r="D133" s="307"/>
      <c r="E133" s="307"/>
      <c r="F133" s="307"/>
      <c r="G133" s="307"/>
      <c r="H133" s="307"/>
      <c r="I133" s="307"/>
      <c r="J133" s="214">
        <f>TRUNC(J131+J132,2)</f>
        <v>8275.99</v>
      </c>
    </row>
    <row r="134" spans="2:10" x14ac:dyDescent="0.25">
      <c r="B134" s="10"/>
      <c r="C134" s="10"/>
      <c r="D134" s="10"/>
      <c r="E134" s="10"/>
      <c r="F134" s="10"/>
      <c r="G134" s="10"/>
      <c r="H134" s="10"/>
      <c r="I134" s="10"/>
      <c r="J134" s="11"/>
    </row>
    <row r="135" spans="2:10" x14ac:dyDescent="0.25">
      <c r="B135" s="10"/>
      <c r="C135" s="10"/>
      <c r="D135" s="10"/>
      <c r="E135" s="10"/>
      <c r="F135" s="10"/>
      <c r="G135" s="10"/>
      <c r="H135" s="10"/>
      <c r="I135" s="10"/>
      <c r="J135" s="10"/>
    </row>
    <row r="136" spans="2:10" x14ac:dyDescent="0.25">
      <c r="B136" s="15"/>
      <c r="C136" s="16"/>
      <c r="D136" s="10"/>
      <c r="E136" s="10"/>
      <c r="F136" s="10"/>
      <c r="G136" s="10"/>
      <c r="H136" s="10"/>
      <c r="I136" s="10"/>
      <c r="J136" s="10"/>
    </row>
    <row r="137" spans="2:10" x14ac:dyDescent="0.25">
      <c r="B137" s="12"/>
      <c r="C137" s="12"/>
      <c r="D137" s="13"/>
    </row>
    <row r="138" spans="2:10" x14ac:dyDescent="0.25">
      <c r="B138" s="14"/>
      <c r="C138" s="10"/>
      <c r="D138" s="10"/>
    </row>
    <row r="139" spans="2:10" x14ac:dyDescent="0.25">
      <c r="B139" s="14"/>
      <c r="C139" s="10"/>
      <c r="D139" s="10"/>
    </row>
  </sheetData>
  <mergeCells count="139">
    <mergeCell ref="B1:J1"/>
    <mergeCell ref="B2:J2"/>
    <mergeCell ref="B3:J3"/>
    <mergeCell ref="B4:J4"/>
    <mergeCell ref="B5:J5"/>
    <mergeCell ref="B6:J6"/>
    <mergeCell ref="C11:H11"/>
    <mergeCell ref="I11:J11"/>
    <mergeCell ref="C12:H12"/>
    <mergeCell ref="I12:J12"/>
    <mergeCell ref="B14:J14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20:H20"/>
    <mergeCell ref="I20:J20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C28:H28"/>
    <mergeCell ref="C29:H29"/>
    <mergeCell ref="C30:H30"/>
    <mergeCell ref="C31:H31"/>
    <mergeCell ref="C32:H32"/>
    <mergeCell ref="B33:I33"/>
    <mergeCell ref="C23:H23"/>
    <mergeCell ref="I23:J23"/>
    <mergeCell ref="B24:J24"/>
    <mergeCell ref="B25:J25"/>
    <mergeCell ref="C26:H26"/>
    <mergeCell ref="C27:H27"/>
    <mergeCell ref="B41:H41"/>
    <mergeCell ref="C42:H42"/>
    <mergeCell ref="C43:H43"/>
    <mergeCell ref="C44:H44"/>
    <mergeCell ref="C45:H45"/>
    <mergeCell ref="C46:H46"/>
    <mergeCell ref="B35:J35"/>
    <mergeCell ref="B36:H36"/>
    <mergeCell ref="C37:H37"/>
    <mergeCell ref="C38:H38"/>
    <mergeCell ref="B39:H39"/>
    <mergeCell ref="B40:J40"/>
    <mergeCell ref="C53:H53"/>
    <mergeCell ref="C54:H54"/>
    <mergeCell ref="C55:H55"/>
    <mergeCell ref="C56:H56"/>
    <mergeCell ref="C57:H57"/>
    <mergeCell ref="B58:I58"/>
    <mergeCell ref="C47:H47"/>
    <mergeCell ref="C48:H48"/>
    <mergeCell ref="C49:H49"/>
    <mergeCell ref="B50:H50"/>
    <mergeCell ref="B51:J51"/>
    <mergeCell ref="B52:H52"/>
    <mergeCell ref="B65:I65"/>
    <mergeCell ref="B66:J66"/>
    <mergeCell ref="B67:J67"/>
    <mergeCell ref="C68:H68"/>
    <mergeCell ref="C69:H69"/>
    <mergeCell ref="C70:H70"/>
    <mergeCell ref="B59:J59"/>
    <mergeCell ref="B60:J60"/>
    <mergeCell ref="B61:I61"/>
    <mergeCell ref="C62:I62"/>
    <mergeCell ref="C63:I63"/>
    <mergeCell ref="C64:I64"/>
    <mergeCell ref="B78:H78"/>
    <mergeCell ref="C79:H79"/>
    <mergeCell ref="C80:H80"/>
    <mergeCell ref="C81:H81"/>
    <mergeCell ref="C82:H82"/>
    <mergeCell ref="C83:H83"/>
    <mergeCell ref="C71:H71"/>
    <mergeCell ref="C72:H72"/>
    <mergeCell ref="C73:H73"/>
    <mergeCell ref="B74:H74"/>
    <mergeCell ref="B76:J76"/>
    <mergeCell ref="B77:J77"/>
    <mergeCell ref="C75:J75"/>
    <mergeCell ref="B90:J90"/>
    <mergeCell ref="B91:J91"/>
    <mergeCell ref="B92:I92"/>
    <mergeCell ref="C93:I93"/>
    <mergeCell ref="C94:I94"/>
    <mergeCell ref="B95:I95"/>
    <mergeCell ref="C84:H84"/>
    <mergeCell ref="B85:H85"/>
    <mergeCell ref="B86:J86"/>
    <mergeCell ref="B87:H87"/>
    <mergeCell ref="C88:H88"/>
    <mergeCell ref="B89:H89"/>
    <mergeCell ref="C102:H102"/>
    <mergeCell ref="B103:H103"/>
    <mergeCell ref="B104:J104"/>
    <mergeCell ref="B105:J105"/>
    <mergeCell ref="C106:H106"/>
    <mergeCell ref="C107:H107"/>
    <mergeCell ref="B96:J96"/>
    <mergeCell ref="B97:J97"/>
    <mergeCell ref="C98:H98"/>
    <mergeCell ref="C99:H99"/>
    <mergeCell ref="C100:H100"/>
    <mergeCell ref="C101:H101"/>
    <mergeCell ref="C114:J114"/>
    <mergeCell ref="C115:H115"/>
    <mergeCell ref="C116:H116"/>
    <mergeCell ref="C118:H118"/>
    <mergeCell ref="C120:H120"/>
    <mergeCell ref="C122:H122"/>
    <mergeCell ref="C108:H108"/>
    <mergeCell ref="C109:H109"/>
    <mergeCell ref="C110:H110"/>
    <mergeCell ref="C111:H111"/>
    <mergeCell ref="C112:H112"/>
    <mergeCell ref="B113:H113"/>
    <mergeCell ref="C130:I130"/>
    <mergeCell ref="C131:I131"/>
    <mergeCell ref="C132:I132"/>
    <mergeCell ref="B133:I133"/>
    <mergeCell ref="B124:J124"/>
    <mergeCell ref="B125:I125"/>
    <mergeCell ref="C126:I126"/>
    <mergeCell ref="C127:I127"/>
    <mergeCell ref="C128:I128"/>
    <mergeCell ref="C129:I129"/>
  </mergeCells>
  <phoneticPr fontId="16" type="noConversion"/>
  <pageMargins left="0.51181102362204722" right="0.51181102362204722" top="0.78740157480314965" bottom="0.78740157480314965" header="0.31496062992125984" footer="0.31496062992125984"/>
  <pageSetup paperSize="9" scale="66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B9CA7-5CAF-4430-ABC7-D61ECE4C7F65}">
  <sheetPr>
    <pageSetUpPr fitToPage="1"/>
  </sheetPr>
  <dimension ref="B1:M139"/>
  <sheetViews>
    <sheetView showGridLines="0" topLeftCell="A83" zoomScale="80" zoomScaleNormal="80" workbookViewId="0">
      <selection activeCell="B1" sqref="B1:J1"/>
    </sheetView>
  </sheetViews>
  <sheetFormatPr defaultColWidth="8.85546875" defaultRowHeight="15" x14ac:dyDescent="0.25"/>
  <cols>
    <col min="1" max="1" width="3.42578125" customWidth="1"/>
    <col min="2" max="2" width="10.42578125" customWidth="1"/>
    <col min="3" max="3" width="49.5703125" bestFit="1" customWidth="1"/>
    <col min="8" max="8" width="9" bestFit="1" customWidth="1"/>
    <col min="9" max="9" width="12.28515625" bestFit="1" customWidth="1"/>
    <col min="10" max="10" width="25.42578125" customWidth="1"/>
    <col min="11" max="11" width="11.85546875" bestFit="1" customWidth="1"/>
    <col min="12" max="12" width="25.85546875" style="182" customWidth="1"/>
    <col min="13" max="13" width="63.42578125" style="182" customWidth="1"/>
  </cols>
  <sheetData>
    <row r="1" spans="2:10" x14ac:dyDescent="0.25">
      <c r="B1" s="340"/>
      <c r="C1" s="340"/>
      <c r="D1" s="340"/>
      <c r="E1" s="340"/>
      <c r="F1" s="340"/>
      <c r="G1" s="340"/>
      <c r="H1" s="340"/>
      <c r="I1" s="340"/>
      <c r="J1" s="340"/>
    </row>
    <row r="2" spans="2:10" x14ac:dyDescent="0.25">
      <c r="B2" s="341" t="s">
        <v>138</v>
      </c>
      <c r="C2" s="341"/>
      <c r="D2" s="341"/>
      <c r="E2" s="341"/>
      <c r="F2" s="341"/>
      <c r="G2" s="341"/>
      <c r="H2" s="341"/>
      <c r="I2" s="341"/>
      <c r="J2" s="341"/>
    </row>
    <row r="3" spans="2:10" x14ac:dyDescent="0.25">
      <c r="B3" s="341" t="s">
        <v>139</v>
      </c>
      <c r="C3" s="341"/>
      <c r="D3" s="341"/>
      <c r="E3" s="341"/>
      <c r="F3" s="341"/>
      <c r="G3" s="341"/>
      <c r="H3" s="341"/>
      <c r="I3" s="341"/>
      <c r="J3" s="341"/>
    </row>
    <row r="4" spans="2:10" x14ac:dyDescent="0.25">
      <c r="B4" s="342" t="s">
        <v>140</v>
      </c>
      <c r="C4" s="342"/>
      <c r="D4" s="342"/>
      <c r="E4" s="342"/>
      <c r="F4" s="342"/>
      <c r="G4" s="342"/>
      <c r="H4" s="342"/>
      <c r="I4" s="342"/>
      <c r="J4" s="342"/>
    </row>
    <row r="5" spans="2:10" x14ac:dyDescent="0.25">
      <c r="B5" s="337"/>
      <c r="C5" s="337"/>
      <c r="D5" s="337"/>
      <c r="E5" s="337"/>
      <c r="F5" s="337"/>
      <c r="G5" s="337"/>
      <c r="H5" s="337"/>
      <c r="I5" s="337"/>
      <c r="J5" s="337"/>
    </row>
    <row r="6" spans="2:10" x14ac:dyDescent="0.25">
      <c r="B6" s="343" t="s">
        <v>317</v>
      </c>
      <c r="C6" s="343"/>
      <c r="D6" s="343"/>
      <c r="E6" s="343"/>
      <c r="F6" s="343"/>
      <c r="G6" s="343"/>
      <c r="H6" s="343"/>
      <c r="I6" s="343"/>
      <c r="J6" s="343"/>
    </row>
    <row r="7" spans="2:10" x14ac:dyDescent="0.25">
      <c r="B7" s="339"/>
      <c r="C7" s="339"/>
      <c r="D7" s="339"/>
      <c r="E7" s="339"/>
      <c r="F7" s="339"/>
      <c r="G7" s="339"/>
      <c r="H7" s="339"/>
      <c r="I7" s="339"/>
      <c r="J7" s="339"/>
    </row>
    <row r="8" spans="2:10" x14ac:dyDescent="0.25">
      <c r="B8" s="308" t="s">
        <v>142</v>
      </c>
      <c r="C8" s="308"/>
      <c r="D8" s="308"/>
      <c r="E8" s="308"/>
      <c r="F8" s="308"/>
      <c r="G8" s="308"/>
      <c r="H8" s="308"/>
      <c r="I8" s="308"/>
      <c r="J8" s="308"/>
    </row>
    <row r="9" spans="2:10" x14ac:dyDescent="0.25">
      <c r="B9" s="188" t="s">
        <v>143</v>
      </c>
      <c r="C9" s="305" t="s">
        <v>144</v>
      </c>
      <c r="D9" s="305"/>
      <c r="E9" s="305"/>
      <c r="F9" s="305"/>
      <c r="G9" s="305"/>
      <c r="H9" s="305"/>
      <c r="I9" s="335"/>
      <c r="J9" s="336"/>
    </row>
    <row r="10" spans="2:10" x14ac:dyDescent="0.25">
      <c r="B10" s="188" t="s">
        <v>145</v>
      </c>
      <c r="C10" s="305" t="s">
        <v>146</v>
      </c>
      <c r="D10" s="305"/>
      <c r="E10" s="305"/>
      <c r="F10" s="305"/>
      <c r="G10" s="305"/>
      <c r="H10" s="305"/>
      <c r="I10" s="336" t="s">
        <v>318</v>
      </c>
      <c r="J10" s="336"/>
    </row>
    <row r="11" spans="2:10" ht="44.45" customHeight="1" x14ac:dyDescent="0.25">
      <c r="B11" s="188" t="s">
        <v>148</v>
      </c>
      <c r="C11" s="305" t="s">
        <v>149</v>
      </c>
      <c r="D11" s="305"/>
      <c r="E11" s="305"/>
      <c r="F11" s="305"/>
      <c r="G11" s="305"/>
      <c r="H11" s="305"/>
      <c r="I11" s="344" t="s">
        <v>319</v>
      </c>
      <c r="J11" s="336"/>
    </row>
    <row r="12" spans="2:10" x14ac:dyDescent="0.25">
      <c r="B12" s="188" t="s">
        <v>151</v>
      </c>
      <c r="C12" s="305" t="s">
        <v>152</v>
      </c>
      <c r="D12" s="305"/>
      <c r="E12" s="305"/>
      <c r="F12" s="305"/>
      <c r="G12" s="305"/>
      <c r="H12" s="305"/>
      <c r="I12" s="336">
        <v>12</v>
      </c>
      <c r="J12" s="336"/>
    </row>
    <row r="13" spans="2:10" x14ac:dyDescent="0.25">
      <c r="B13" s="69"/>
      <c r="C13" s="67"/>
      <c r="D13" s="67"/>
      <c r="E13" s="67"/>
      <c r="F13" s="67"/>
      <c r="G13" s="67"/>
      <c r="H13" s="67"/>
      <c r="I13" s="69"/>
      <c r="J13" s="69"/>
    </row>
    <row r="14" spans="2:10" x14ac:dyDescent="0.25">
      <c r="B14" s="308" t="s">
        <v>153</v>
      </c>
      <c r="C14" s="308"/>
      <c r="D14" s="308"/>
      <c r="E14" s="308"/>
      <c r="F14" s="308"/>
      <c r="G14" s="308"/>
      <c r="H14" s="308"/>
      <c r="I14" s="308"/>
      <c r="J14" s="308"/>
    </row>
    <row r="15" spans="2:10" x14ac:dyDescent="0.25">
      <c r="B15" s="336" t="s">
        <v>154</v>
      </c>
      <c r="C15" s="336"/>
      <c r="D15" s="336" t="s">
        <v>155</v>
      </c>
      <c r="E15" s="336"/>
      <c r="F15" s="336" t="s">
        <v>156</v>
      </c>
      <c r="G15" s="336"/>
      <c r="H15" s="336"/>
      <c r="I15" s="336"/>
      <c r="J15" s="336"/>
    </row>
    <row r="16" spans="2:10" x14ac:dyDescent="0.25">
      <c r="B16" s="336" t="s">
        <v>157</v>
      </c>
      <c r="C16" s="336"/>
      <c r="D16" s="336" t="s">
        <v>158</v>
      </c>
      <c r="E16" s="336"/>
      <c r="F16" s="336">
        <v>1</v>
      </c>
      <c r="G16" s="336"/>
      <c r="H16" s="336"/>
      <c r="I16" s="336"/>
      <c r="J16" s="336"/>
    </row>
    <row r="17" spans="2:13" x14ac:dyDescent="0.25">
      <c r="B17" s="69"/>
      <c r="C17" s="67"/>
      <c r="D17" s="67"/>
      <c r="E17" s="67"/>
      <c r="F17" s="67"/>
      <c r="G17" s="67"/>
      <c r="H17" s="67"/>
      <c r="I17" s="69"/>
      <c r="J17" s="69"/>
      <c r="L17" s="19"/>
      <c r="M17" s="19"/>
    </row>
    <row r="18" spans="2:13" x14ac:dyDescent="0.25">
      <c r="B18" s="308" t="s">
        <v>159</v>
      </c>
      <c r="C18" s="308"/>
      <c r="D18" s="308"/>
      <c r="E18" s="308"/>
      <c r="F18" s="308"/>
      <c r="G18" s="308"/>
      <c r="H18" s="308"/>
      <c r="I18" s="308"/>
      <c r="J18" s="308"/>
      <c r="L18" s="19"/>
      <c r="M18" s="19"/>
    </row>
    <row r="19" spans="2:13" x14ac:dyDescent="0.25">
      <c r="B19" s="188">
        <v>1</v>
      </c>
      <c r="C19" s="305" t="s">
        <v>160</v>
      </c>
      <c r="D19" s="305"/>
      <c r="E19" s="305"/>
      <c r="F19" s="305"/>
      <c r="G19" s="305"/>
      <c r="H19" s="305"/>
      <c r="I19" s="336" t="s">
        <v>161</v>
      </c>
      <c r="J19" s="336"/>
      <c r="L19" s="19"/>
      <c r="M19" s="19"/>
    </row>
    <row r="20" spans="2:13" x14ac:dyDescent="0.25">
      <c r="B20" s="188">
        <v>2</v>
      </c>
      <c r="C20" s="305" t="s">
        <v>162</v>
      </c>
      <c r="D20" s="305"/>
      <c r="E20" s="305"/>
      <c r="F20" s="305"/>
      <c r="G20" s="305"/>
      <c r="H20" s="305"/>
      <c r="I20" s="336" t="s">
        <v>163</v>
      </c>
      <c r="J20" s="336"/>
      <c r="L20" s="19"/>
      <c r="M20" s="19"/>
    </row>
    <row r="21" spans="2:13" x14ac:dyDescent="0.25">
      <c r="B21" s="188">
        <v>3</v>
      </c>
      <c r="C21" s="305" t="s">
        <v>164</v>
      </c>
      <c r="D21" s="305"/>
      <c r="E21" s="305"/>
      <c r="F21" s="305"/>
      <c r="G21" s="305"/>
      <c r="H21" s="305"/>
      <c r="I21" s="338">
        <v>2513.91</v>
      </c>
      <c r="J21" s="336"/>
      <c r="L21" s="19"/>
      <c r="M21" s="19"/>
    </row>
    <row r="22" spans="2:13" x14ac:dyDescent="0.25">
      <c r="B22" s="188">
        <v>4</v>
      </c>
      <c r="C22" s="305" t="s">
        <v>165</v>
      </c>
      <c r="D22" s="305"/>
      <c r="E22" s="305"/>
      <c r="F22" s="305"/>
      <c r="G22" s="305"/>
      <c r="H22" s="305"/>
      <c r="I22" s="306" t="s">
        <v>157</v>
      </c>
      <c r="J22" s="306"/>
      <c r="L22" s="19"/>
      <c r="M22" s="19"/>
    </row>
    <row r="23" spans="2:13" x14ac:dyDescent="0.25">
      <c r="B23" s="188">
        <v>5</v>
      </c>
      <c r="C23" s="305" t="s">
        <v>166</v>
      </c>
      <c r="D23" s="305"/>
      <c r="E23" s="305"/>
      <c r="F23" s="305"/>
      <c r="G23" s="305"/>
      <c r="H23" s="305"/>
      <c r="I23" s="335" t="s">
        <v>167</v>
      </c>
      <c r="J23" s="336"/>
      <c r="L23" s="19"/>
      <c r="M23" s="19"/>
    </row>
    <row r="24" spans="2:13" x14ac:dyDescent="0.25">
      <c r="B24" s="337"/>
      <c r="C24" s="337"/>
      <c r="D24" s="337"/>
      <c r="E24" s="337"/>
      <c r="F24" s="337"/>
      <c r="G24" s="337"/>
      <c r="H24" s="337"/>
      <c r="I24" s="337"/>
      <c r="J24" s="337"/>
      <c r="L24" s="19"/>
      <c r="M24" s="19"/>
    </row>
    <row r="25" spans="2:13" x14ac:dyDescent="0.25">
      <c r="B25" s="317" t="s">
        <v>168</v>
      </c>
      <c r="C25" s="317"/>
      <c r="D25" s="317"/>
      <c r="E25" s="317"/>
      <c r="F25" s="317"/>
      <c r="G25" s="317"/>
      <c r="H25" s="317"/>
      <c r="I25" s="317"/>
      <c r="J25" s="317"/>
      <c r="L25" s="19"/>
      <c r="M25" s="19"/>
    </row>
    <row r="26" spans="2:13" x14ac:dyDescent="0.25">
      <c r="B26" s="189">
        <v>1</v>
      </c>
      <c r="C26" s="306" t="s">
        <v>169</v>
      </c>
      <c r="D26" s="306"/>
      <c r="E26" s="306"/>
      <c r="F26" s="306"/>
      <c r="G26" s="306"/>
      <c r="H26" s="306"/>
      <c r="I26" s="189" t="s">
        <v>170</v>
      </c>
      <c r="J26" s="189" t="s">
        <v>171</v>
      </c>
      <c r="L26" s="141" t="s">
        <v>172</v>
      </c>
      <c r="M26" s="141" t="s">
        <v>173</v>
      </c>
    </row>
    <row r="27" spans="2:13" x14ac:dyDescent="0.25">
      <c r="B27" s="189" t="s">
        <v>143</v>
      </c>
      <c r="C27" s="305" t="s">
        <v>174</v>
      </c>
      <c r="D27" s="305"/>
      <c r="E27" s="305"/>
      <c r="F27" s="305"/>
      <c r="G27" s="305"/>
      <c r="H27" s="305"/>
      <c r="I27" s="190"/>
      <c r="J27" s="191">
        <v>2513.91</v>
      </c>
      <c r="L27" s="192"/>
      <c r="M27" s="193" t="s">
        <v>175</v>
      </c>
    </row>
    <row r="28" spans="2:13" x14ac:dyDescent="0.25">
      <c r="B28" s="189" t="s">
        <v>145</v>
      </c>
      <c r="C28" s="305" t="s">
        <v>176</v>
      </c>
      <c r="D28" s="305"/>
      <c r="E28" s="305"/>
      <c r="F28" s="305"/>
      <c r="G28" s="305"/>
      <c r="H28" s="305"/>
      <c r="I28" s="194">
        <v>0.3</v>
      </c>
      <c r="J28" s="191">
        <f>TRUNC($J$27*I28,2)</f>
        <v>754.17</v>
      </c>
      <c r="L28" s="192"/>
      <c r="M28" s="193" t="s">
        <v>177</v>
      </c>
    </row>
    <row r="29" spans="2:13" x14ac:dyDescent="0.25">
      <c r="B29" s="189" t="s">
        <v>148</v>
      </c>
      <c r="C29" s="305" t="s">
        <v>178</v>
      </c>
      <c r="D29" s="305"/>
      <c r="E29" s="305"/>
      <c r="F29" s="305"/>
      <c r="G29" s="305"/>
      <c r="H29" s="305"/>
      <c r="I29" s="194"/>
      <c r="J29" s="191">
        <f>TRUNC($J$27*I29,2)</f>
        <v>0</v>
      </c>
      <c r="L29" s="19"/>
      <c r="M29" s="19"/>
    </row>
    <row r="30" spans="2:13" x14ac:dyDescent="0.25">
      <c r="B30" s="189" t="s">
        <v>151</v>
      </c>
      <c r="C30" s="305" t="s">
        <v>179</v>
      </c>
      <c r="D30" s="305"/>
      <c r="E30" s="305"/>
      <c r="F30" s="305"/>
      <c r="G30" s="305"/>
      <c r="H30" s="305"/>
      <c r="I30" s="194"/>
      <c r="J30" s="191">
        <f>TRUNC($J$27*I30,2)</f>
        <v>0</v>
      </c>
      <c r="K30" s="19"/>
      <c r="L30" s="19"/>
      <c r="M30" s="19"/>
    </row>
    <row r="31" spans="2:13" x14ac:dyDescent="0.25">
      <c r="B31" s="189" t="s">
        <v>180</v>
      </c>
      <c r="C31" s="305" t="s">
        <v>181</v>
      </c>
      <c r="D31" s="305"/>
      <c r="E31" s="305"/>
      <c r="F31" s="305"/>
      <c r="G31" s="305"/>
      <c r="H31" s="305"/>
      <c r="I31" s="194"/>
      <c r="J31" s="191">
        <f>TRUNC($J$27*I31,2)</f>
        <v>0</v>
      </c>
      <c r="L31" s="19"/>
      <c r="M31" s="19"/>
    </row>
    <row r="32" spans="2:13" x14ac:dyDescent="0.25">
      <c r="B32" s="189" t="s">
        <v>182</v>
      </c>
      <c r="C32" s="305" t="s">
        <v>183</v>
      </c>
      <c r="D32" s="305"/>
      <c r="E32" s="305"/>
      <c r="F32" s="305"/>
      <c r="G32" s="305"/>
      <c r="H32" s="305"/>
      <c r="I32" s="194"/>
      <c r="J32" s="191">
        <f>TRUNC($J$27*I32,2)</f>
        <v>0</v>
      </c>
      <c r="L32" s="19"/>
      <c r="M32" s="19"/>
    </row>
    <row r="33" spans="2:13" x14ac:dyDescent="0.25">
      <c r="B33" s="306" t="s">
        <v>184</v>
      </c>
      <c r="C33" s="306"/>
      <c r="D33" s="306"/>
      <c r="E33" s="306"/>
      <c r="F33" s="306"/>
      <c r="G33" s="306"/>
      <c r="H33" s="306"/>
      <c r="I33" s="306"/>
      <c r="J33" s="196">
        <f>SUM(J27:J32)</f>
        <v>3268.08</v>
      </c>
      <c r="L33" s="19"/>
      <c r="M33" s="19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2"/>
      <c r="L34" s="19"/>
      <c r="M34" s="19"/>
    </row>
    <row r="35" spans="2:13" x14ac:dyDescent="0.25">
      <c r="B35" s="317" t="s">
        <v>185</v>
      </c>
      <c r="C35" s="317"/>
      <c r="D35" s="317"/>
      <c r="E35" s="317"/>
      <c r="F35" s="317"/>
      <c r="G35" s="317"/>
      <c r="H35" s="317"/>
      <c r="I35" s="317"/>
      <c r="J35" s="317"/>
      <c r="L35" s="19"/>
      <c r="M35" s="19"/>
    </row>
    <row r="36" spans="2:13" x14ac:dyDescent="0.25">
      <c r="B36" s="332" t="s">
        <v>186</v>
      </c>
      <c r="C36" s="332"/>
      <c r="D36" s="332"/>
      <c r="E36" s="332"/>
      <c r="F36" s="332"/>
      <c r="G36" s="332"/>
      <c r="H36" s="332"/>
      <c r="I36" s="197" t="s">
        <v>170</v>
      </c>
      <c r="J36" s="197" t="s">
        <v>171</v>
      </c>
      <c r="L36" s="141" t="s">
        <v>172</v>
      </c>
      <c r="M36" s="141" t="s">
        <v>173</v>
      </c>
    </row>
    <row r="37" spans="2:13" ht="25.5" customHeight="1" x14ac:dyDescent="0.25">
      <c r="B37" s="189" t="s">
        <v>143</v>
      </c>
      <c r="C37" s="305" t="s">
        <v>187</v>
      </c>
      <c r="D37" s="305"/>
      <c r="E37" s="305"/>
      <c r="F37" s="305"/>
      <c r="G37" s="305"/>
      <c r="H37" s="305"/>
      <c r="I37" s="198">
        <v>8.3299999999999999E-2</v>
      </c>
      <c r="J37" s="191">
        <f>TRUNC($J$33*I37,2)</f>
        <v>272.23</v>
      </c>
      <c r="K37" s="17"/>
      <c r="L37" s="192"/>
      <c r="M37" s="199" t="s">
        <v>188</v>
      </c>
    </row>
    <row r="38" spans="2:13" ht="25.5" customHeight="1" x14ac:dyDescent="0.25">
      <c r="B38" s="189" t="s">
        <v>145</v>
      </c>
      <c r="C38" s="305" t="s">
        <v>189</v>
      </c>
      <c r="D38" s="305"/>
      <c r="E38" s="305"/>
      <c r="F38" s="305"/>
      <c r="G38" s="305"/>
      <c r="H38" s="305"/>
      <c r="I38" s="200">
        <v>0.121</v>
      </c>
      <c r="J38" s="191">
        <f>TRUNC($J$33*I38,2)</f>
        <v>395.43</v>
      </c>
      <c r="K38" s="17"/>
      <c r="L38" s="183" t="s">
        <v>190</v>
      </c>
      <c r="M38" s="199" t="s">
        <v>191</v>
      </c>
    </row>
    <row r="39" spans="2:13" x14ac:dyDescent="0.25">
      <c r="B39" s="306" t="s">
        <v>192</v>
      </c>
      <c r="C39" s="306"/>
      <c r="D39" s="306"/>
      <c r="E39" s="306"/>
      <c r="F39" s="306"/>
      <c r="G39" s="306"/>
      <c r="H39" s="306"/>
      <c r="I39" s="201">
        <f>SUM(I37:I38)</f>
        <v>0.20429999999999998</v>
      </c>
      <c r="J39" s="196">
        <f>SUM(J37:J38)</f>
        <v>667.66000000000008</v>
      </c>
      <c r="K39" s="18"/>
      <c r="L39" s="19"/>
      <c r="M39" s="19"/>
    </row>
    <row r="40" spans="2:13" x14ac:dyDescent="0.25">
      <c r="B40" s="333"/>
      <c r="C40" s="334"/>
      <c r="D40" s="334"/>
      <c r="E40" s="334"/>
      <c r="F40" s="334"/>
      <c r="G40" s="334"/>
      <c r="H40" s="334"/>
      <c r="I40" s="334"/>
      <c r="J40" s="334"/>
      <c r="L40" s="19"/>
      <c r="M40" s="19"/>
    </row>
    <row r="41" spans="2:13" x14ac:dyDescent="0.25">
      <c r="B41" s="332" t="s">
        <v>193</v>
      </c>
      <c r="C41" s="332"/>
      <c r="D41" s="332"/>
      <c r="E41" s="332"/>
      <c r="F41" s="332"/>
      <c r="G41" s="332"/>
      <c r="H41" s="332"/>
      <c r="I41" s="197" t="s">
        <v>170</v>
      </c>
      <c r="J41" s="197" t="s">
        <v>171</v>
      </c>
      <c r="L41" s="141" t="s">
        <v>172</v>
      </c>
      <c r="M41" s="141" t="s">
        <v>173</v>
      </c>
    </row>
    <row r="42" spans="2:13" x14ac:dyDescent="0.25">
      <c r="B42" s="189" t="s">
        <v>143</v>
      </c>
      <c r="C42" s="305" t="s">
        <v>194</v>
      </c>
      <c r="D42" s="305"/>
      <c r="E42" s="305"/>
      <c r="F42" s="305"/>
      <c r="G42" s="305"/>
      <c r="H42" s="305"/>
      <c r="I42" s="198">
        <v>0.2</v>
      </c>
      <c r="J42" s="191">
        <f>TRUNC(($J$33+$J$39)*$I$42,2)</f>
        <v>787.14</v>
      </c>
      <c r="L42" s="192"/>
      <c r="M42" s="20" t="s">
        <v>195</v>
      </c>
    </row>
    <row r="43" spans="2:13" x14ac:dyDescent="0.25">
      <c r="B43" s="189" t="s">
        <v>145</v>
      </c>
      <c r="C43" s="305" t="s">
        <v>196</v>
      </c>
      <c r="D43" s="305"/>
      <c r="E43" s="305"/>
      <c r="F43" s="305"/>
      <c r="G43" s="305"/>
      <c r="H43" s="305"/>
      <c r="I43" s="198">
        <v>2.5000000000000001E-2</v>
      </c>
      <c r="J43" s="191">
        <f>TRUNC(($J$33+$J$39)*$I$43,2)</f>
        <v>98.39</v>
      </c>
      <c r="L43" s="192"/>
      <c r="M43" s="20" t="s">
        <v>197</v>
      </c>
    </row>
    <row r="44" spans="2:13" x14ac:dyDescent="0.25">
      <c r="B44" s="189" t="s">
        <v>148</v>
      </c>
      <c r="C44" s="305" t="s">
        <v>198</v>
      </c>
      <c r="D44" s="305"/>
      <c r="E44" s="305"/>
      <c r="F44" s="305"/>
      <c r="G44" s="305"/>
      <c r="H44" s="305"/>
      <c r="I44" s="198">
        <v>0.03</v>
      </c>
      <c r="J44" s="191">
        <f>TRUNC(($J$33+$J$39)*$I$44,2)</f>
        <v>118.07</v>
      </c>
      <c r="L44" s="183" t="s">
        <v>199</v>
      </c>
      <c r="M44" s="20" t="s">
        <v>200</v>
      </c>
    </row>
    <row r="45" spans="2:13" x14ac:dyDescent="0.25">
      <c r="B45" s="189" t="s">
        <v>151</v>
      </c>
      <c r="C45" s="305" t="s">
        <v>201</v>
      </c>
      <c r="D45" s="305"/>
      <c r="E45" s="305"/>
      <c r="F45" s="305"/>
      <c r="G45" s="305"/>
      <c r="H45" s="305"/>
      <c r="I45" s="198">
        <v>1.4999999999999999E-2</v>
      </c>
      <c r="J45" s="191">
        <f>TRUNC(($J$33+$J$39)*$I$45,2)</f>
        <v>59.03</v>
      </c>
      <c r="L45" s="192"/>
      <c r="M45" s="20" t="s">
        <v>202</v>
      </c>
    </row>
    <row r="46" spans="2:13" x14ac:dyDescent="0.25">
      <c r="B46" s="189" t="s">
        <v>180</v>
      </c>
      <c r="C46" s="305" t="s">
        <v>203</v>
      </c>
      <c r="D46" s="305"/>
      <c r="E46" s="305"/>
      <c r="F46" s="305"/>
      <c r="G46" s="305"/>
      <c r="H46" s="305"/>
      <c r="I46" s="198">
        <v>0.01</v>
      </c>
      <c r="J46" s="191">
        <f>TRUNC(($J$33+$J$39)*$I$46,2)</f>
        <v>39.35</v>
      </c>
      <c r="L46" s="192"/>
      <c r="M46" s="20" t="s">
        <v>204</v>
      </c>
    </row>
    <row r="47" spans="2:13" x14ac:dyDescent="0.25">
      <c r="B47" s="189" t="s">
        <v>182</v>
      </c>
      <c r="C47" s="305" t="s">
        <v>205</v>
      </c>
      <c r="D47" s="305"/>
      <c r="E47" s="305"/>
      <c r="F47" s="305"/>
      <c r="G47" s="305"/>
      <c r="H47" s="305"/>
      <c r="I47" s="198">
        <v>6.0000000000000001E-3</v>
      </c>
      <c r="J47" s="191">
        <f>TRUNC(($J$33+$J$39)*$I$47,2)</f>
        <v>23.61</v>
      </c>
      <c r="L47" s="192"/>
      <c r="M47" s="21" t="s">
        <v>206</v>
      </c>
    </row>
    <row r="48" spans="2:13" x14ac:dyDescent="0.25">
      <c r="B48" s="189" t="s">
        <v>207</v>
      </c>
      <c r="C48" s="305" t="s">
        <v>208</v>
      </c>
      <c r="D48" s="305"/>
      <c r="E48" s="305"/>
      <c r="F48" s="305"/>
      <c r="G48" s="305"/>
      <c r="H48" s="305"/>
      <c r="I48" s="198">
        <v>2E-3</v>
      </c>
      <c r="J48" s="191">
        <f>TRUNC(($J$33+$J$39)*$I$48,2)</f>
        <v>7.87</v>
      </c>
      <c r="L48" s="192"/>
      <c r="M48" s="20" t="s">
        <v>204</v>
      </c>
    </row>
    <row r="49" spans="2:13" x14ac:dyDescent="0.25">
      <c r="B49" s="189" t="s">
        <v>209</v>
      </c>
      <c r="C49" s="305" t="s">
        <v>210</v>
      </c>
      <c r="D49" s="305"/>
      <c r="E49" s="305"/>
      <c r="F49" s="305"/>
      <c r="G49" s="305"/>
      <c r="H49" s="305"/>
      <c r="I49" s="198">
        <v>0.08</v>
      </c>
      <c r="J49" s="191">
        <f>TRUNC(($J$33+$J$39)*$I$49,2)</f>
        <v>314.85000000000002</v>
      </c>
      <c r="L49" s="192"/>
      <c r="M49" s="20" t="s">
        <v>211</v>
      </c>
    </row>
    <row r="50" spans="2:13" x14ac:dyDescent="0.25">
      <c r="B50" s="306" t="s">
        <v>212</v>
      </c>
      <c r="C50" s="306"/>
      <c r="D50" s="306"/>
      <c r="E50" s="306"/>
      <c r="F50" s="306"/>
      <c r="G50" s="306"/>
      <c r="H50" s="306"/>
      <c r="I50" s="201">
        <f>SUM(I42:I49)</f>
        <v>0.36800000000000005</v>
      </c>
      <c r="J50" s="196">
        <f>SUM(J42:J49)</f>
        <v>1448.3099999999995</v>
      </c>
      <c r="L50" s="19"/>
      <c r="M50" s="19"/>
    </row>
    <row r="51" spans="2:13" x14ac:dyDescent="0.25">
      <c r="B51" s="327"/>
      <c r="C51" s="327"/>
      <c r="D51" s="327"/>
      <c r="E51" s="327"/>
      <c r="F51" s="327"/>
      <c r="G51" s="327"/>
      <c r="H51" s="327"/>
      <c r="I51" s="327"/>
      <c r="J51" s="328"/>
      <c r="L51" s="19"/>
      <c r="M51" s="19"/>
    </row>
    <row r="52" spans="2:13" x14ac:dyDescent="0.25">
      <c r="B52" s="332" t="s">
        <v>213</v>
      </c>
      <c r="C52" s="332"/>
      <c r="D52" s="332"/>
      <c r="E52" s="332"/>
      <c r="F52" s="332"/>
      <c r="G52" s="332"/>
      <c r="H52" s="332"/>
      <c r="I52" s="203"/>
      <c r="J52" s="197" t="s">
        <v>171</v>
      </c>
      <c r="L52" s="141" t="s">
        <v>172</v>
      </c>
      <c r="M52" s="141" t="s">
        <v>173</v>
      </c>
    </row>
    <row r="53" spans="2:13" ht="25.5" customHeight="1" x14ac:dyDescent="0.25">
      <c r="B53" s="189" t="s">
        <v>143</v>
      </c>
      <c r="C53" s="314" t="s">
        <v>320</v>
      </c>
      <c r="D53" s="314"/>
      <c r="E53" s="314"/>
      <c r="F53" s="314"/>
      <c r="G53" s="314"/>
      <c r="H53" s="314"/>
      <c r="I53" s="188" t="s">
        <v>24</v>
      </c>
      <c r="J53" s="204">
        <f>TRUNC((4.83*2*22)-(6%*J27),2)</f>
        <v>61.68</v>
      </c>
      <c r="L53" s="142" t="s">
        <v>215</v>
      </c>
      <c r="M53" s="142" t="s">
        <v>216</v>
      </c>
    </row>
    <row r="54" spans="2:13" x14ac:dyDescent="0.25">
      <c r="B54" s="189" t="s">
        <v>145</v>
      </c>
      <c r="C54" s="314" t="s">
        <v>217</v>
      </c>
      <c r="D54" s="314"/>
      <c r="E54" s="314"/>
      <c r="F54" s="314"/>
      <c r="G54" s="314"/>
      <c r="H54" s="314"/>
      <c r="I54" s="188" t="s">
        <v>24</v>
      </c>
      <c r="J54" s="205">
        <f>TRUNC(((30)*22*0.95),2)</f>
        <v>627</v>
      </c>
      <c r="L54" s="193" t="s">
        <v>321</v>
      </c>
      <c r="M54" s="193" t="s">
        <v>219</v>
      </c>
    </row>
    <row r="55" spans="2:13" x14ac:dyDescent="0.25">
      <c r="B55" s="189" t="s">
        <v>148</v>
      </c>
      <c r="C55" s="329" t="s">
        <v>220</v>
      </c>
      <c r="D55" s="330"/>
      <c r="E55" s="330"/>
      <c r="F55" s="330"/>
      <c r="G55" s="330"/>
      <c r="H55" s="331"/>
      <c r="I55" s="188" t="s">
        <v>24</v>
      </c>
      <c r="J55" s="205">
        <f>TRUNC(1%*J33,2)</f>
        <v>32.68</v>
      </c>
      <c r="L55" s="184"/>
      <c r="M55" s="193" t="s">
        <v>221</v>
      </c>
    </row>
    <row r="56" spans="2:13" x14ac:dyDescent="0.25">
      <c r="B56" s="189" t="s">
        <v>151</v>
      </c>
      <c r="C56" s="329" t="s">
        <v>222</v>
      </c>
      <c r="D56" s="330"/>
      <c r="E56" s="330"/>
      <c r="F56" s="330"/>
      <c r="G56" s="330"/>
      <c r="H56" s="331"/>
      <c r="I56" s="188" t="s">
        <v>24</v>
      </c>
      <c r="J56" s="205">
        <v>9.68</v>
      </c>
      <c r="L56" s="192"/>
      <c r="M56" s="193" t="s">
        <v>223</v>
      </c>
    </row>
    <row r="57" spans="2:13" x14ac:dyDescent="0.25">
      <c r="B57" s="189" t="s">
        <v>180</v>
      </c>
      <c r="C57" s="314" t="s">
        <v>224</v>
      </c>
      <c r="D57" s="314"/>
      <c r="E57" s="314"/>
      <c r="F57" s="314"/>
      <c r="G57" s="314"/>
      <c r="H57" s="314"/>
      <c r="I57" s="188" t="s">
        <v>24</v>
      </c>
      <c r="J57" s="204">
        <v>278.67</v>
      </c>
      <c r="L57" s="193"/>
      <c r="M57" s="193" t="s">
        <v>225</v>
      </c>
    </row>
    <row r="58" spans="2:13" x14ac:dyDescent="0.25">
      <c r="B58" s="306" t="s">
        <v>226</v>
      </c>
      <c r="C58" s="306"/>
      <c r="D58" s="306"/>
      <c r="E58" s="306"/>
      <c r="F58" s="306"/>
      <c r="G58" s="306"/>
      <c r="H58" s="306"/>
      <c r="I58" s="306"/>
      <c r="J58" s="196">
        <f>SUM(J53:J57)</f>
        <v>1009.7099999999998</v>
      </c>
      <c r="L58" s="19"/>
      <c r="M58" s="19"/>
    </row>
    <row r="59" spans="2:13" x14ac:dyDescent="0.25">
      <c r="B59" s="327"/>
      <c r="C59" s="327"/>
      <c r="D59" s="327"/>
      <c r="E59" s="327"/>
      <c r="F59" s="327"/>
      <c r="G59" s="327"/>
      <c r="H59" s="327"/>
      <c r="I59" s="327"/>
      <c r="J59" s="328"/>
      <c r="L59" s="19"/>
      <c r="M59" s="19"/>
    </row>
    <row r="60" spans="2:13" x14ac:dyDescent="0.25">
      <c r="B60" s="308" t="s">
        <v>227</v>
      </c>
      <c r="C60" s="308"/>
      <c r="D60" s="308"/>
      <c r="E60" s="308"/>
      <c r="F60" s="308"/>
      <c r="G60" s="308"/>
      <c r="H60" s="308"/>
      <c r="I60" s="308"/>
      <c r="J60" s="308"/>
      <c r="L60" s="19"/>
      <c r="M60" s="19"/>
    </row>
    <row r="61" spans="2:13" x14ac:dyDescent="0.25">
      <c r="B61" s="306" t="s">
        <v>228</v>
      </c>
      <c r="C61" s="306"/>
      <c r="D61" s="306"/>
      <c r="E61" s="306"/>
      <c r="F61" s="306"/>
      <c r="G61" s="306"/>
      <c r="H61" s="306"/>
      <c r="I61" s="306"/>
      <c r="J61" s="189" t="s">
        <v>171</v>
      </c>
      <c r="L61" s="19"/>
      <c r="M61" s="19"/>
    </row>
    <row r="62" spans="2:13" x14ac:dyDescent="0.25">
      <c r="B62" s="189" t="s">
        <v>229</v>
      </c>
      <c r="C62" s="305" t="s">
        <v>230</v>
      </c>
      <c r="D62" s="305"/>
      <c r="E62" s="305"/>
      <c r="F62" s="305"/>
      <c r="G62" s="305"/>
      <c r="H62" s="305"/>
      <c r="I62" s="305"/>
      <c r="J62" s="191">
        <f>J39</f>
        <v>667.66000000000008</v>
      </c>
      <c r="L62" s="19"/>
      <c r="M62" s="19"/>
    </row>
    <row r="63" spans="2:13" x14ac:dyDescent="0.25">
      <c r="B63" s="189" t="s">
        <v>231</v>
      </c>
      <c r="C63" s="305" t="s">
        <v>232</v>
      </c>
      <c r="D63" s="305"/>
      <c r="E63" s="305"/>
      <c r="F63" s="305"/>
      <c r="G63" s="305"/>
      <c r="H63" s="305"/>
      <c r="I63" s="305"/>
      <c r="J63" s="191">
        <f>J50</f>
        <v>1448.3099999999995</v>
      </c>
      <c r="L63" s="19"/>
      <c r="M63" s="19"/>
    </row>
    <row r="64" spans="2:13" x14ac:dyDescent="0.25">
      <c r="B64" s="189" t="s">
        <v>233</v>
      </c>
      <c r="C64" s="305" t="s">
        <v>234</v>
      </c>
      <c r="D64" s="305"/>
      <c r="E64" s="305"/>
      <c r="F64" s="305"/>
      <c r="G64" s="305"/>
      <c r="H64" s="305"/>
      <c r="I64" s="305"/>
      <c r="J64" s="191">
        <f>J58</f>
        <v>1009.7099999999998</v>
      </c>
      <c r="L64" s="19"/>
      <c r="M64" s="19"/>
    </row>
    <row r="65" spans="2:13" x14ac:dyDescent="0.25">
      <c r="B65" s="306" t="s">
        <v>235</v>
      </c>
      <c r="C65" s="306"/>
      <c r="D65" s="306"/>
      <c r="E65" s="306"/>
      <c r="F65" s="306"/>
      <c r="G65" s="306"/>
      <c r="H65" s="306"/>
      <c r="I65" s="306"/>
      <c r="J65" s="196">
        <f>SUM(J62:J64)</f>
        <v>3125.6799999999994</v>
      </c>
      <c r="L65" s="19"/>
      <c r="M65" s="19"/>
    </row>
    <row r="66" spans="2:13" x14ac:dyDescent="0.25">
      <c r="B66" s="315"/>
      <c r="C66" s="316"/>
      <c r="D66" s="316"/>
      <c r="E66" s="316"/>
      <c r="F66" s="316"/>
      <c r="G66" s="316"/>
      <c r="H66" s="316"/>
      <c r="I66" s="316"/>
      <c r="J66" s="316"/>
      <c r="L66" s="19"/>
      <c r="M66" s="19"/>
    </row>
    <row r="67" spans="2:13" x14ac:dyDescent="0.25">
      <c r="B67" s="317" t="s">
        <v>236</v>
      </c>
      <c r="C67" s="317"/>
      <c r="D67" s="317"/>
      <c r="E67" s="317"/>
      <c r="F67" s="317"/>
      <c r="G67" s="317"/>
      <c r="H67" s="317"/>
      <c r="I67" s="317"/>
      <c r="J67" s="317"/>
      <c r="L67" s="19"/>
      <c r="M67" s="19"/>
    </row>
    <row r="68" spans="2:13" x14ac:dyDescent="0.25">
      <c r="B68" s="189">
        <v>3</v>
      </c>
      <c r="C68" s="306" t="s">
        <v>237</v>
      </c>
      <c r="D68" s="306"/>
      <c r="E68" s="306"/>
      <c r="F68" s="306"/>
      <c r="G68" s="306"/>
      <c r="H68" s="306"/>
      <c r="I68" s="189" t="s">
        <v>170</v>
      </c>
      <c r="J68" s="189" t="s">
        <v>171</v>
      </c>
      <c r="L68" s="141" t="s">
        <v>172</v>
      </c>
      <c r="M68" s="141" t="s">
        <v>173</v>
      </c>
    </row>
    <row r="69" spans="2:13" ht="25.5" customHeight="1" x14ac:dyDescent="0.25">
      <c r="B69" s="189" t="s">
        <v>143</v>
      </c>
      <c r="C69" s="305" t="s">
        <v>238</v>
      </c>
      <c r="D69" s="305"/>
      <c r="E69" s="305"/>
      <c r="F69" s="305"/>
      <c r="G69" s="305"/>
      <c r="H69" s="305"/>
      <c r="I69" s="198">
        <f>(1/12)*5%</f>
        <v>4.1666666666666666E-3</v>
      </c>
      <c r="J69" s="191">
        <f>TRUNC(I69*$J$33,2)</f>
        <v>13.61</v>
      </c>
      <c r="L69" s="206" t="s">
        <v>239</v>
      </c>
      <c r="M69" s="206" t="s">
        <v>240</v>
      </c>
    </row>
    <row r="70" spans="2:13" x14ac:dyDescent="0.25">
      <c r="B70" s="189" t="s">
        <v>145</v>
      </c>
      <c r="C70" s="305" t="s">
        <v>241</v>
      </c>
      <c r="D70" s="305"/>
      <c r="E70" s="305"/>
      <c r="F70" s="305"/>
      <c r="G70" s="305"/>
      <c r="H70" s="305"/>
      <c r="I70" s="198">
        <f>I49*I69</f>
        <v>3.3333333333333332E-4</v>
      </c>
      <c r="J70" s="191">
        <f>TRUNC(I70*$J$33,2)</f>
        <v>1.08</v>
      </c>
      <c r="L70" s="206" t="s">
        <v>242</v>
      </c>
      <c r="M70" s="206" t="s">
        <v>243</v>
      </c>
    </row>
    <row r="71" spans="2:13" x14ac:dyDescent="0.25">
      <c r="B71" s="189" t="s">
        <v>148</v>
      </c>
      <c r="C71" s="305" t="s">
        <v>244</v>
      </c>
      <c r="D71" s="305"/>
      <c r="E71" s="305"/>
      <c r="F71" s="305"/>
      <c r="G71" s="305"/>
      <c r="H71" s="305"/>
      <c r="I71" s="198">
        <f>((7/30)/12)</f>
        <v>1.9444444444444445E-2</v>
      </c>
      <c r="J71" s="191">
        <f>TRUNC(I71*$J$33,2)</f>
        <v>63.54</v>
      </c>
      <c r="L71" s="206" t="s">
        <v>245</v>
      </c>
      <c r="M71" s="206" t="s">
        <v>246</v>
      </c>
    </row>
    <row r="72" spans="2:13" ht="25.5" customHeight="1" x14ac:dyDescent="0.25">
      <c r="B72" s="189" t="s">
        <v>151</v>
      </c>
      <c r="C72" s="305" t="s">
        <v>247</v>
      </c>
      <c r="D72" s="305"/>
      <c r="E72" s="305"/>
      <c r="F72" s="305"/>
      <c r="G72" s="305"/>
      <c r="H72" s="305"/>
      <c r="I72" s="200">
        <f>I50*I71</f>
        <v>7.1555555555555565E-3</v>
      </c>
      <c r="J72" s="191">
        <f>TRUNC(I72*$J$33,2)</f>
        <v>23.38</v>
      </c>
      <c r="L72" s="206" t="s">
        <v>248</v>
      </c>
      <c r="M72" s="19"/>
    </row>
    <row r="73" spans="2:13" ht="25.5" customHeight="1" x14ac:dyDescent="0.25">
      <c r="B73" s="189" t="s">
        <v>180</v>
      </c>
      <c r="C73" s="322" t="s">
        <v>249</v>
      </c>
      <c r="D73" s="322"/>
      <c r="E73" s="322"/>
      <c r="F73" s="322"/>
      <c r="G73" s="322"/>
      <c r="H73" s="322"/>
      <c r="I73" s="198">
        <v>0.04</v>
      </c>
      <c r="J73" s="191">
        <f>TRUNC(I73*$J$33,2)</f>
        <v>130.72</v>
      </c>
      <c r="L73" s="207" t="s">
        <v>250</v>
      </c>
      <c r="M73" s="208" t="s">
        <v>251</v>
      </c>
    </row>
    <row r="74" spans="2:13" x14ac:dyDescent="0.25">
      <c r="B74" s="306" t="s">
        <v>252</v>
      </c>
      <c r="C74" s="306"/>
      <c r="D74" s="306"/>
      <c r="E74" s="306"/>
      <c r="F74" s="306"/>
      <c r="G74" s="306"/>
      <c r="H74" s="306"/>
      <c r="I74" s="201">
        <f>SUM(I69:I73)</f>
        <v>7.1099999999999997E-2</v>
      </c>
      <c r="J74" s="196">
        <f>SUM(J69:J73)</f>
        <v>232.32999999999998</v>
      </c>
      <c r="L74" s="19"/>
      <c r="M74" s="19"/>
    </row>
    <row r="75" spans="2:13" ht="40.35" customHeight="1" x14ac:dyDescent="0.25">
      <c r="B75" s="209" t="s">
        <v>253</v>
      </c>
      <c r="C75" s="325" t="s">
        <v>254</v>
      </c>
      <c r="D75" s="325"/>
      <c r="E75" s="325"/>
      <c r="F75" s="325"/>
      <c r="G75" s="325"/>
      <c r="H75" s="325"/>
      <c r="I75" s="325"/>
      <c r="J75" s="326"/>
      <c r="L75" s="19"/>
      <c r="M75" s="19"/>
    </row>
    <row r="76" spans="2:13" x14ac:dyDescent="0.25">
      <c r="B76" s="323"/>
      <c r="C76" s="324"/>
      <c r="D76" s="324"/>
      <c r="E76" s="324"/>
      <c r="F76" s="324"/>
      <c r="G76" s="324"/>
      <c r="H76" s="324"/>
      <c r="I76" s="324"/>
      <c r="J76" s="324"/>
      <c r="L76" s="19"/>
      <c r="M76" s="19"/>
    </row>
    <row r="77" spans="2:13" x14ac:dyDescent="0.25">
      <c r="B77" s="317" t="s">
        <v>255</v>
      </c>
      <c r="C77" s="317"/>
      <c r="D77" s="317"/>
      <c r="E77" s="317"/>
      <c r="F77" s="317"/>
      <c r="G77" s="317"/>
      <c r="H77" s="317"/>
      <c r="I77" s="317"/>
      <c r="J77" s="317"/>
      <c r="L77" s="19"/>
      <c r="M77" s="19"/>
    </row>
    <row r="78" spans="2:13" x14ac:dyDescent="0.25">
      <c r="B78" s="306" t="s">
        <v>256</v>
      </c>
      <c r="C78" s="306"/>
      <c r="D78" s="306"/>
      <c r="E78" s="306"/>
      <c r="F78" s="306"/>
      <c r="G78" s="306"/>
      <c r="H78" s="306"/>
      <c r="I78" s="189" t="s">
        <v>170</v>
      </c>
      <c r="J78" s="189" t="s">
        <v>171</v>
      </c>
      <c r="L78" s="141" t="s">
        <v>172</v>
      </c>
      <c r="M78" s="141" t="s">
        <v>173</v>
      </c>
    </row>
    <row r="79" spans="2:13" ht="25.5" customHeight="1" x14ac:dyDescent="0.25">
      <c r="B79" s="189" t="s">
        <v>143</v>
      </c>
      <c r="C79" s="305" t="s">
        <v>257</v>
      </c>
      <c r="D79" s="305"/>
      <c r="E79" s="305"/>
      <c r="F79" s="305"/>
      <c r="G79" s="305"/>
      <c r="H79" s="305"/>
      <c r="I79" s="198">
        <f>(1/12/12)+(1/12/12)+(1/12/12/3)</f>
        <v>1.6203703703703703E-2</v>
      </c>
      <c r="J79" s="191">
        <f t="shared" ref="J79:J84" si="0">TRUNC(($J$33)*I79,2)</f>
        <v>52.95</v>
      </c>
      <c r="L79" s="206" t="s">
        <v>258</v>
      </c>
      <c r="M79" s="206" t="s">
        <v>259</v>
      </c>
    </row>
    <row r="80" spans="2:13" x14ac:dyDescent="0.25">
      <c r="B80" s="189" t="s">
        <v>145</v>
      </c>
      <c r="C80" s="305" t="s">
        <v>260</v>
      </c>
      <c r="D80" s="305"/>
      <c r="E80" s="305"/>
      <c r="F80" s="305"/>
      <c r="G80" s="305"/>
      <c r="H80" s="305"/>
      <c r="I80" s="198">
        <f>((1/30))/12</f>
        <v>2.7777777777777779E-3</v>
      </c>
      <c r="J80" s="191">
        <f t="shared" si="0"/>
        <v>9.07</v>
      </c>
      <c r="L80" s="206" t="s">
        <v>261</v>
      </c>
      <c r="M80" s="206" t="s">
        <v>262</v>
      </c>
    </row>
    <row r="81" spans="2:13" ht="25.5" customHeight="1" x14ac:dyDescent="0.25">
      <c r="B81" s="189" t="s">
        <v>148</v>
      </c>
      <c r="C81" s="305" t="s">
        <v>263</v>
      </c>
      <c r="D81" s="305"/>
      <c r="E81" s="305"/>
      <c r="F81" s="305"/>
      <c r="G81" s="305"/>
      <c r="H81" s="305"/>
      <c r="I81" s="198">
        <f>((5/30)/12)*1.5%</f>
        <v>2.0833333333333332E-4</v>
      </c>
      <c r="J81" s="191">
        <f t="shared" si="0"/>
        <v>0.68</v>
      </c>
      <c r="L81" s="206" t="s">
        <v>264</v>
      </c>
      <c r="M81" s="199" t="s">
        <v>265</v>
      </c>
    </row>
    <row r="82" spans="2:13" ht="25.5" customHeight="1" x14ac:dyDescent="0.25">
      <c r="B82" s="189" t="s">
        <v>151</v>
      </c>
      <c r="C82" s="305" t="s">
        <v>266</v>
      </c>
      <c r="D82" s="305"/>
      <c r="E82" s="305"/>
      <c r="F82" s="305"/>
      <c r="G82" s="305"/>
      <c r="H82" s="305"/>
      <c r="I82" s="198">
        <f>((15/30)/12)*8%</f>
        <v>3.3333333333333331E-3</v>
      </c>
      <c r="J82" s="191">
        <f t="shared" si="0"/>
        <v>10.89</v>
      </c>
      <c r="L82" s="206" t="s">
        <v>267</v>
      </c>
      <c r="M82" s="199" t="s">
        <v>268</v>
      </c>
    </row>
    <row r="83" spans="2:13" ht="25.5" customHeight="1" x14ac:dyDescent="0.25">
      <c r="B83" s="189" t="s">
        <v>180</v>
      </c>
      <c r="C83" s="305" t="s">
        <v>269</v>
      </c>
      <c r="D83" s="305"/>
      <c r="E83" s="305"/>
      <c r="F83" s="305"/>
      <c r="G83" s="305"/>
      <c r="H83" s="305"/>
      <c r="I83" s="198">
        <f>(((4*8.33%)+(4*2.78%))/12)*2%</f>
        <v>7.4066666666666671E-4</v>
      </c>
      <c r="J83" s="191">
        <f t="shared" si="0"/>
        <v>2.42</v>
      </c>
      <c r="L83" s="206" t="s">
        <v>270</v>
      </c>
      <c r="M83" s="199" t="s">
        <v>271</v>
      </c>
    </row>
    <row r="84" spans="2:13" x14ac:dyDescent="0.25">
      <c r="B84" s="189" t="s">
        <v>182</v>
      </c>
      <c r="C84" s="305" t="s">
        <v>272</v>
      </c>
      <c r="D84" s="305"/>
      <c r="E84" s="305"/>
      <c r="F84" s="305"/>
      <c r="G84" s="305"/>
      <c r="H84" s="305"/>
      <c r="I84" s="198">
        <v>0</v>
      </c>
      <c r="J84" s="191">
        <f t="shared" si="0"/>
        <v>0</v>
      </c>
      <c r="L84" s="19"/>
      <c r="M84" s="19"/>
    </row>
    <row r="85" spans="2:13" x14ac:dyDescent="0.25">
      <c r="B85" s="306" t="s">
        <v>273</v>
      </c>
      <c r="C85" s="306"/>
      <c r="D85" s="306"/>
      <c r="E85" s="306"/>
      <c r="F85" s="306"/>
      <c r="G85" s="306"/>
      <c r="H85" s="306"/>
      <c r="I85" s="201">
        <f>SUM(I79:I84)</f>
        <v>2.3263814814814817E-2</v>
      </c>
      <c r="J85" s="196">
        <f>SUM(J79:J84)</f>
        <v>76.010000000000005</v>
      </c>
      <c r="L85" s="19"/>
      <c r="M85" s="19"/>
    </row>
    <row r="86" spans="2:13" x14ac:dyDescent="0.25">
      <c r="B86" s="320"/>
      <c r="C86" s="321"/>
      <c r="D86" s="321"/>
      <c r="E86" s="321"/>
      <c r="F86" s="321"/>
      <c r="G86" s="321"/>
      <c r="H86" s="321"/>
      <c r="I86" s="321"/>
      <c r="J86" s="321"/>
      <c r="L86" s="19"/>
      <c r="M86" s="19"/>
    </row>
    <row r="87" spans="2:13" x14ac:dyDescent="0.25">
      <c r="B87" s="306" t="s">
        <v>274</v>
      </c>
      <c r="C87" s="306"/>
      <c r="D87" s="306"/>
      <c r="E87" s="306"/>
      <c r="F87" s="306"/>
      <c r="G87" s="306"/>
      <c r="H87" s="306"/>
      <c r="I87" s="189" t="s">
        <v>170</v>
      </c>
      <c r="J87" s="189" t="s">
        <v>171</v>
      </c>
      <c r="L87" s="19"/>
      <c r="M87" s="19"/>
    </row>
    <row r="88" spans="2:13" x14ac:dyDescent="0.25">
      <c r="B88" s="189" t="s">
        <v>143</v>
      </c>
      <c r="C88" s="322" t="s">
        <v>275</v>
      </c>
      <c r="D88" s="305"/>
      <c r="E88" s="305"/>
      <c r="F88" s="305"/>
      <c r="G88" s="305"/>
      <c r="H88" s="305"/>
      <c r="I88" s="198">
        <v>0</v>
      </c>
      <c r="J88" s="191">
        <v>0</v>
      </c>
      <c r="L88" s="19"/>
      <c r="M88" s="19"/>
    </row>
    <row r="89" spans="2:13" x14ac:dyDescent="0.25">
      <c r="B89" s="306" t="s">
        <v>276</v>
      </c>
      <c r="C89" s="306"/>
      <c r="D89" s="306"/>
      <c r="E89" s="306"/>
      <c r="F89" s="306"/>
      <c r="G89" s="306"/>
      <c r="H89" s="306"/>
      <c r="I89" s="201">
        <v>0</v>
      </c>
      <c r="J89" s="196">
        <v>0</v>
      </c>
      <c r="L89" s="19"/>
      <c r="M89" s="19"/>
    </row>
    <row r="90" spans="2:13" x14ac:dyDescent="0.25">
      <c r="B90" s="318"/>
      <c r="C90" s="319"/>
      <c r="D90" s="319"/>
      <c r="E90" s="319"/>
      <c r="F90" s="319"/>
      <c r="G90" s="319"/>
      <c r="H90" s="319"/>
      <c r="I90" s="319"/>
      <c r="J90" s="319"/>
      <c r="L90" s="19"/>
      <c r="M90" s="19"/>
    </row>
    <row r="91" spans="2:13" x14ac:dyDescent="0.25">
      <c r="B91" s="308" t="s">
        <v>277</v>
      </c>
      <c r="C91" s="308"/>
      <c r="D91" s="308"/>
      <c r="E91" s="308"/>
      <c r="F91" s="308"/>
      <c r="G91" s="308"/>
      <c r="H91" s="308"/>
      <c r="I91" s="308"/>
      <c r="J91" s="308"/>
      <c r="L91" s="19"/>
      <c r="M91" s="19"/>
    </row>
    <row r="92" spans="2:13" x14ac:dyDescent="0.25">
      <c r="B92" s="306" t="s">
        <v>278</v>
      </c>
      <c r="C92" s="306"/>
      <c r="D92" s="306"/>
      <c r="E92" s="306"/>
      <c r="F92" s="306"/>
      <c r="G92" s="306"/>
      <c r="H92" s="306"/>
      <c r="I92" s="306"/>
      <c r="J92" s="189" t="s">
        <v>171</v>
      </c>
      <c r="L92" s="19"/>
      <c r="M92" s="19"/>
    </row>
    <row r="93" spans="2:13" x14ac:dyDescent="0.25">
      <c r="B93" s="189" t="s">
        <v>279</v>
      </c>
      <c r="C93" s="305" t="s">
        <v>280</v>
      </c>
      <c r="D93" s="305"/>
      <c r="E93" s="305"/>
      <c r="F93" s="305"/>
      <c r="G93" s="305"/>
      <c r="H93" s="305"/>
      <c r="I93" s="305"/>
      <c r="J93" s="191">
        <f>J85</f>
        <v>76.010000000000005</v>
      </c>
      <c r="L93" s="19"/>
      <c r="M93" s="19"/>
    </row>
    <row r="94" spans="2:13" x14ac:dyDescent="0.25">
      <c r="B94" s="189" t="s">
        <v>281</v>
      </c>
      <c r="C94" s="305" t="s">
        <v>282</v>
      </c>
      <c r="D94" s="305"/>
      <c r="E94" s="305"/>
      <c r="F94" s="305"/>
      <c r="G94" s="305"/>
      <c r="H94" s="305"/>
      <c r="I94" s="305"/>
      <c r="J94" s="191">
        <f>J89</f>
        <v>0</v>
      </c>
      <c r="L94" s="19"/>
      <c r="M94" s="19"/>
    </row>
    <row r="95" spans="2:13" x14ac:dyDescent="0.25">
      <c r="B95" s="306" t="s">
        <v>283</v>
      </c>
      <c r="C95" s="306"/>
      <c r="D95" s="306"/>
      <c r="E95" s="306"/>
      <c r="F95" s="306"/>
      <c r="G95" s="306"/>
      <c r="H95" s="306"/>
      <c r="I95" s="306"/>
      <c r="J95" s="196">
        <f>SUM(J93:J94)</f>
        <v>76.010000000000005</v>
      </c>
      <c r="L95" s="19"/>
      <c r="M95" s="19"/>
    </row>
    <row r="96" spans="2:13" x14ac:dyDescent="0.25">
      <c r="B96" s="315"/>
      <c r="C96" s="316"/>
      <c r="D96" s="316"/>
      <c r="E96" s="316"/>
      <c r="F96" s="316"/>
      <c r="G96" s="316"/>
      <c r="H96" s="316"/>
      <c r="I96" s="316"/>
      <c r="J96" s="316"/>
      <c r="L96" s="19"/>
      <c r="M96" s="19"/>
    </row>
    <row r="97" spans="2:13" x14ac:dyDescent="0.25">
      <c r="B97" s="317" t="s">
        <v>284</v>
      </c>
      <c r="C97" s="317"/>
      <c r="D97" s="317"/>
      <c r="E97" s="317"/>
      <c r="F97" s="317"/>
      <c r="G97" s="317"/>
      <c r="H97" s="317"/>
      <c r="I97" s="317"/>
      <c r="J97" s="317"/>
      <c r="L97" s="19"/>
      <c r="M97" s="19"/>
    </row>
    <row r="98" spans="2:13" x14ac:dyDescent="0.25">
      <c r="B98" s="189">
        <v>5</v>
      </c>
      <c r="C98" s="306" t="s">
        <v>285</v>
      </c>
      <c r="D98" s="306"/>
      <c r="E98" s="306"/>
      <c r="F98" s="306"/>
      <c r="G98" s="306"/>
      <c r="H98" s="306"/>
      <c r="I98" s="189"/>
      <c r="J98" s="189" t="s">
        <v>171</v>
      </c>
      <c r="L98"/>
      <c r="M98"/>
    </row>
    <row r="99" spans="2:13" x14ac:dyDescent="0.25">
      <c r="B99" s="189" t="s">
        <v>143</v>
      </c>
      <c r="C99" s="314" t="s">
        <v>286</v>
      </c>
      <c r="D99" s="314"/>
      <c r="E99" s="314"/>
      <c r="F99" s="314"/>
      <c r="G99" s="314"/>
      <c r="H99" s="314"/>
      <c r="I99" s="198" t="s">
        <v>24</v>
      </c>
      <c r="J99" s="210">
        <f>Uniformes!F13</f>
        <v>87.95750000000001</v>
      </c>
      <c r="L99"/>
      <c r="M99"/>
    </row>
    <row r="100" spans="2:13" x14ac:dyDescent="0.25">
      <c r="B100" s="189" t="s">
        <v>145</v>
      </c>
      <c r="C100" s="314" t="s">
        <v>287</v>
      </c>
      <c r="D100" s="314"/>
      <c r="E100" s="314"/>
      <c r="F100" s="314"/>
      <c r="G100" s="314"/>
      <c r="H100" s="314"/>
      <c r="I100" s="198" t="s">
        <v>24</v>
      </c>
      <c r="J100" s="210">
        <f>Ferramentas!E77</f>
        <v>112.57906666666665</v>
      </c>
      <c r="L100"/>
      <c r="M100"/>
    </row>
    <row r="101" spans="2:13" x14ac:dyDescent="0.25">
      <c r="B101" s="202" t="s">
        <v>148</v>
      </c>
      <c r="C101" s="314" t="s">
        <v>183</v>
      </c>
      <c r="D101" s="314"/>
      <c r="E101" s="314"/>
      <c r="F101" s="314"/>
      <c r="G101" s="314"/>
      <c r="H101" s="314"/>
      <c r="I101" s="188"/>
      <c r="J101" s="191"/>
      <c r="L101" s="19"/>
      <c r="M101" s="19"/>
    </row>
    <row r="102" spans="2:13" x14ac:dyDescent="0.25">
      <c r="B102" s="202" t="s">
        <v>151</v>
      </c>
      <c r="C102" s="314" t="s">
        <v>183</v>
      </c>
      <c r="D102" s="314"/>
      <c r="E102" s="314"/>
      <c r="F102" s="314"/>
      <c r="G102" s="314"/>
      <c r="H102" s="314"/>
      <c r="I102" s="188" t="s">
        <v>24</v>
      </c>
      <c r="J102" s="191">
        <v>0</v>
      </c>
      <c r="L102" s="19"/>
      <c r="M102" s="19"/>
    </row>
    <row r="103" spans="2:13" x14ac:dyDescent="0.25">
      <c r="B103" s="306" t="s">
        <v>288</v>
      </c>
      <c r="C103" s="306"/>
      <c r="D103" s="306"/>
      <c r="E103" s="306"/>
      <c r="F103" s="306"/>
      <c r="G103" s="306"/>
      <c r="H103" s="306"/>
      <c r="I103" s="201" t="s">
        <v>24</v>
      </c>
      <c r="J103" s="196">
        <f>SUM(J99:J102)</f>
        <v>200.53656666666666</v>
      </c>
      <c r="L103" s="19"/>
      <c r="M103" s="19"/>
    </row>
    <row r="104" spans="2:13" x14ac:dyDescent="0.25">
      <c r="B104" s="315"/>
      <c r="C104" s="316"/>
      <c r="D104" s="316"/>
      <c r="E104" s="316"/>
      <c r="F104" s="316"/>
      <c r="G104" s="316"/>
      <c r="H104" s="316"/>
      <c r="I104" s="316"/>
      <c r="J104" s="316"/>
      <c r="L104" s="19"/>
      <c r="M104" s="19"/>
    </row>
    <row r="105" spans="2:13" x14ac:dyDescent="0.25">
      <c r="B105" s="317" t="s">
        <v>289</v>
      </c>
      <c r="C105" s="317"/>
      <c r="D105" s="317"/>
      <c r="E105" s="317"/>
      <c r="F105" s="317"/>
      <c r="G105" s="317"/>
      <c r="H105" s="317"/>
      <c r="I105" s="317"/>
      <c r="J105" s="317"/>
      <c r="L105" s="19"/>
      <c r="M105" s="19"/>
    </row>
    <row r="106" spans="2:13" x14ac:dyDescent="0.25">
      <c r="B106" s="189">
        <v>6</v>
      </c>
      <c r="C106" s="306" t="s">
        <v>290</v>
      </c>
      <c r="D106" s="306"/>
      <c r="E106" s="306"/>
      <c r="F106" s="306"/>
      <c r="G106" s="306"/>
      <c r="H106" s="306"/>
      <c r="I106" s="189" t="s">
        <v>170</v>
      </c>
      <c r="J106" s="189" t="s">
        <v>171</v>
      </c>
      <c r="L106" s="141" t="s">
        <v>172</v>
      </c>
      <c r="M106" s="141" t="s">
        <v>173</v>
      </c>
    </row>
    <row r="107" spans="2:13" x14ac:dyDescent="0.25">
      <c r="B107" s="189" t="s">
        <v>143</v>
      </c>
      <c r="C107" s="305" t="s">
        <v>291</v>
      </c>
      <c r="D107" s="305"/>
      <c r="E107" s="305"/>
      <c r="F107" s="305"/>
      <c r="G107" s="305"/>
      <c r="H107" s="305"/>
      <c r="I107" s="211">
        <v>5.2699999999999997E-2</v>
      </c>
      <c r="J107" s="191">
        <f>TRUNC(((J131)*I107),2)</f>
        <v>363.76</v>
      </c>
      <c r="L107" s="184"/>
      <c r="M107" s="184" t="s">
        <v>292</v>
      </c>
    </row>
    <row r="108" spans="2:13" x14ac:dyDescent="0.25">
      <c r="B108" s="189" t="s">
        <v>145</v>
      </c>
      <c r="C108" s="305" t="s">
        <v>293</v>
      </c>
      <c r="D108" s="305"/>
      <c r="E108" s="305"/>
      <c r="F108" s="305"/>
      <c r="G108" s="305"/>
      <c r="H108" s="305"/>
      <c r="I108" s="211">
        <v>6.0699999999999997E-2</v>
      </c>
      <c r="J108" s="191">
        <f>TRUNC(((J131+J107)*I108),2)</f>
        <v>441.07</v>
      </c>
      <c r="L108" s="184"/>
      <c r="M108" s="184" t="s">
        <v>294</v>
      </c>
    </row>
    <row r="109" spans="2:13" x14ac:dyDescent="0.25">
      <c r="B109" s="189" t="s">
        <v>148</v>
      </c>
      <c r="C109" s="313" t="s">
        <v>295</v>
      </c>
      <c r="D109" s="313"/>
      <c r="E109" s="313"/>
      <c r="F109" s="313"/>
      <c r="G109" s="313"/>
      <c r="H109" s="313"/>
      <c r="I109" s="194"/>
      <c r="J109" s="212"/>
      <c r="L109" s="22"/>
      <c r="M109" s="22"/>
    </row>
    <row r="110" spans="2:13" x14ac:dyDescent="0.25">
      <c r="B110" s="189" t="s">
        <v>296</v>
      </c>
      <c r="C110" s="305" t="s">
        <v>297</v>
      </c>
      <c r="D110" s="305"/>
      <c r="E110" s="305"/>
      <c r="F110" s="305"/>
      <c r="G110" s="305"/>
      <c r="H110" s="305"/>
      <c r="I110" s="213">
        <v>6.4999999999999997E-3</v>
      </c>
      <c r="J110" s="191">
        <f>TRUNC(I110*((J131+J107+J108)/(1-I115)),2)</f>
        <v>54.84</v>
      </c>
      <c r="L110" s="184"/>
      <c r="M110" s="184" t="s">
        <v>298</v>
      </c>
    </row>
    <row r="111" spans="2:13" x14ac:dyDescent="0.25">
      <c r="B111" s="189" t="s">
        <v>299</v>
      </c>
      <c r="C111" s="305" t="s">
        <v>300</v>
      </c>
      <c r="D111" s="305"/>
      <c r="E111" s="305"/>
      <c r="F111" s="305"/>
      <c r="G111" s="305"/>
      <c r="H111" s="305"/>
      <c r="I111" s="213">
        <v>0.03</v>
      </c>
      <c r="J111" s="191">
        <f>TRUNC(I111*(J131+J107+J108)/(1-I115),2)</f>
        <v>253.11</v>
      </c>
      <c r="L111" s="184"/>
      <c r="M111" s="184" t="s">
        <v>301</v>
      </c>
    </row>
    <row r="112" spans="2:13" x14ac:dyDescent="0.25">
      <c r="B112" s="189" t="s">
        <v>302</v>
      </c>
      <c r="C112" s="305" t="s">
        <v>303</v>
      </c>
      <c r="D112" s="305"/>
      <c r="E112" s="305"/>
      <c r="F112" s="305"/>
      <c r="G112" s="305"/>
      <c r="H112" s="305"/>
      <c r="I112" s="213">
        <v>0.05</v>
      </c>
      <c r="J112" s="191">
        <f>TRUNC(I112*(J131+J107+J108)/(1-I115),2)</f>
        <v>421.86</v>
      </c>
      <c r="L112" s="23"/>
      <c r="M112" s="23" t="s">
        <v>304</v>
      </c>
    </row>
    <row r="113" spans="2:13" x14ac:dyDescent="0.25">
      <c r="B113" s="306" t="s">
        <v>305</v>
      </c>
      <c r="C113" s="306"/>
      <c r="D113" s="306"/>
      <c r="E113" s="306"/>
      <c r="F113" s="306"/>
      <c r="G113" s="306"/>
      <c r="H113" s="306"/>
      <c r="I113" s="213">
        <f>SUM(I107:I112)</f>
        <v>0.19990000000000002</v>
      </c>
      <c r="J113" s="196">
        <f>SUM(J107:J112)</f>
        <v>1534.6399999999999</v>
      </c>
      <c r="L113" s="19"/>
      <c r="M113" s="19"/>
    </row>
    <row r="114" spans="2:13" x14ac:dyDescent="0.25">
      <c r="B114" s="69"/>
      <c r="C114" s="309"/>
      <c r="D114" s="309"/>
      <c r="E114" s="309"/>
      <c r="F114" s="309"/>
      <c r="G114" s="309"/>
      <c r="H114" s="309"/>
      <c r="I114" s="309"/>
      <c r="J114" s="309"/>
      <c r="L114" s="22"/>
      <c r="M114" s="22"/>
    </row>
    <row r="115" spans="2:13" x14ac:dyDescent="0.25">
      <c r="B115" s="143" t="s">
        <v>306</v>
      </c>
      <c r="C115" s="310" t="s">
        <v>307</v>
      </c>
      <c r="D115" s="310"/>
      <c r="E115" s="310"/>
      <c r="F115" s="310"/>
      <c r="G115" s="310"/>
      <c r="H115" s="310"/>
      <c r="I115" s="144">
        <f>I110+I111+I112</f>
        <v>8.6499999999999994E-2</v>
      </c>
      <c r="J115" s="145"/>
      <c r="L115" s="19"/>
      <c r="M115" s="19"/>
    </row>
    <row r="116" spans="2:13" x14ac:dyDescent="0.25">
      <c r="B116" s="3"/>
      <c r="C116" s="311">
        <v>100</v>
      </c>
      <c r="D116" s="311"/>
      <c r="E116" s="311"/>
      <c r="F116" s="311"/>
      <c r="G116" s="311"/>
      <c r="H116" s="311"/>
      <c r="I116" s="284"/>
      <c r="J116" s="5"/>
      <c r="L116" s="19"/>
      <c r="M116" s="19"/>
    </row>
    <row r="117" spans="2:13" x14ac:dyDescent="0.25">
      <c r="B117" s="6"/>
      <c r="C117" s="68"/>
      <c r="D117" s="68"/>
      <c r="E117" s="68"/>
      <c r="F117" s="68"/>
      <c r="G117" s="68"/>
      <c r="H117" s="68"/>
      <c r="I117" s="284"/>
      <c r="J117" s="5"/>
      <c r="L117" s="19"/>
      <c r="M117" s="19"/>
    </row>
    <row r="118" spans="2:13" x14ac:dyDescent="0.25">
      <c r="B118" s="3" t="s">
        <v>308</v>
      </c>
      <c r="C118" s="311" t="s">
        <v>309</v>
      </c>
      <c r="D118" s="311"/>
      <c r="E118" s="311"/>
      <c r="F118" s="311"/>
      <c r="G118" s="311"/>
      <c r="H118" s="311"/>
      <c r="I118" s="284"/>
      <c r="J118" s="5">
        <f>J33+J65+J74+J95+J103+J107+J108</f>
        <v>7707.466566666666</v>
      </c>
      <c r="L118" s="19"/>
      <c r="M118" s="19"/>
    </row>
    <row r="119" spans="2:13" x14ac:dyDescent="0.25">
      <c r="B119" s="3"/>
      <c r="C119" s="68"/>
      <c r="D119" s="68"/>
      <c r="E119" s="68"/>
      <c r="F119" s="68"/>
      <c r="G119" s="68"/>
      <c r="H119" s="68"/>
      <c r="I119" s="284"/>
      <c r="J119" s="5"/>
      <c r="L119" s="19"/>
      <c r="M119" s="19"/>
    </row>
    <row r="120" spans="2:13" x14ac:dyDescent="0.25">
      <c r="B120" s="3" t="s">
        <v>310</v>
      </c>
      <c r="C120" s="311" t="s">
        <v>311</v>
      </c>
      <c r="D120" s="311"/>
      <c r="E120" s="311"/>
      <c r="F120" s="311"/>
      <c r="G120" s="311"/>
      <c r="H120" s="311"/>
      <c r="I120" s="284"/>
      <c r="J120" s="5">
        <f>TRUNC(J118/(1-I115),2)</f>
        <v>8437.2900000000009</v>
      </c>
      <c r="L120" s="19"/>
      <c r="M120" s="19"/>
    </row>
    <row r="121" spans="2:13" x14ac:dyDescent="0.25">
      <c r="B121" s="3"/>
      <c r="C121" s="68"/>
      <c r="D121" s="68"/>
      <c r="E121" s="68"/>
      <c r="F121" s="68"/>
      <c r="G121" s="68"/>
      <c r="H121" s="68"/>
      <c r="I121" s="284"/>
      <c r="J121" s="5"/>
      <c r="L121" s="19"/>
      <c r="M121" s="19"/>
    </row>
    <row r="122" spans="2:13" x14ac:dyDescent="0.25">
      <c r="B122" s="7"/>
      <c r="C122" s="312" t="s">
        <v>312</v>
      </c>
      <c r="D122" s="312"/>
      <c r="E122" s="312"/>
      <c r="F122" s="312"/>
      <c r="G122" s="312"/>
      <c r="H122" s="312"/>
      <c r="I122" s="8"/>
      <c r="J122" s="9">
        <f>J120-J118</f>
        <v>729.82343333333483</v>
      </c>
      <c r="L122" s="19"/>
      <c r="M122" s="19"/>
    </row>
    <row r="123" spans="2:13" x14ac:dyDescent="0.25">
      <c r="B123" s="69"/>
      <c r="C123" s="69"/>
      <c r="D123" s="69"/>
      <c r="E123" s="69"/>
      <c r="F123" s="69"/>
      <c r="G123" s="69"/>
      <c r="H123" s="69"/>
      <c r="I123" s="69"/>
      <c r="J123" s="2"/>
      <c r="L123" s="19"/>
      <c r="M123" s="19"/>
    </row>
    <row r="124" spans="2:13" x14ac:dyDescent="0.25">
      <c r="B124" s="308" t="s">
        <v>313</v>
      </c>
      <c r="C124" s="308"/>
      <c r="D124" s="308"/>
      <c r="E124" s="308"/>
      <c r="F124" s="308"/>
      <c r="G124" s="308"/>
      <c r="H124" s="308"/>
      <c r="I124" s="308"/>
      <c r="J124" s="308"/>
      <c r="L124" s="19"/>
      <c r="M124" s="19"/>
    </row>
    <row r="125" spans="2:13" x14ac:dyDescent="0.25">
      <c r="B125" s="306" t="s">
        <v>314</v>
      </c>
      <c r="C125" s="306"/>
      <c r="D125" s="306"/>
      <c r="E125" s="306"/>
      <c r="F125" s="306"/>
      <c r="G125" s="306"/>
      <c r="H125" s="306"/>
      <c r="I125" s="306"/>
      <c r="J125" s="189" t="s">
        <v>171</v>
      </c>
      <c r="L125" s="19"/>
      <c r="M125" s="19"/>
    </row>
    <row r="126" spans="2:13" x14ac:dyDescent="0.25">
      <c r="B126" s="188" t="s">
        <v>143</v>
      </c>
      <c r="C126" s="305" t="s">
        <v>168</v>
      </c>
      <c r="D126" s="305"/>
      <c r="E126" s="305"/>
      <c r="F126" s="305"/>
      <c r="G126" s="305"/>
      <c r="H126" s="305"/>
      <c r="I126" s="305"/>
      <c r="J126" s="191">
        <f>J33</f>
        <v>3268.08</v>
      </c>
      <c r="L126" s="19"/>
      <c r="M126" s="19"/>
    </row>
    <row r="127" spans="2:13" x14ac:dyDescent="0.25">
      <c r="B127" s="188" t="s">
        <v>145</v>
      </c>
      <c r="C127" s="305" t="s">
        <v>185</v>
      </c>
      <c r="D127" s="305"/>
      <c r="E127" s="305"/>
      <c r="F127" s="305"/>
      <c r="G127" s="305"/>
      <c r="H127" s="305"/>
      <c r="I127" s="305"/>
      <c r="J127" s="191">
        <f>J65</f>
        <v>3125.6799999999994</v>
      </c>
      <c r="L127" s="19"/>
      <c r="M127" s="19"/>
    </row>
    <row r="128" spans="2:13" x14ac:dyDescent="0.25">
      <c r="B128" s="188" t="s">
        <v>148</v>
      </c>
      <c r="C128" s="305" t="s">
        <v>236</v>
      </c>
      <c r="D128" s="305"/>
      <c r="E128" s="305"/>
      <c r="F128" s="305"/>
      <c r="G128" s="305"/>
      <c r="H128" s="305"/>
      <c r="I128" s="305"/>
      <c r="J128" s="191">
        <f>J74</f>
        <v>232.32999999999998</v>
      </c>
      <c r="L128" s="19"/>
      <c r="M128" s="19"/>
    </row>
    <row r="129" spans="2:10" x14ac:dyDescent="0.25">
      <c r="B129" s="188" t="s">
        <v>151</v>
      </c>
      <c r="C129" s="305" t="s">
        <v>255</v>
      </c>
      <c r="D129" s="305"/>
      <c r="E129" s="305"/>
      <c r="F129" s="305"/>
      <c r="G129" s="305"/>
      <c r="H129" s="305"/>
      <c r="I129" s="305"/>
      <c r="J129" s="191">
        <f>J95</f>
        <v>76.010000000000005</v>
      </c>
    </row>
    <row r="130" spans="2:10" x14ac:dyDescent="0.25">
      <c r="B130" s="188" t="s">
        <v>180</v>
      </c>
      <c r="C130" s="305" t="s">
        <v>284</v>
      </c>
      <c r="D130" s="305"/>
      <c r="E130" s="305"/>
      <c r="F130" s="305"/>
      <c r="G130" s="305"/>
      <c r="H130" s="305"/>
      <c r="I130" s="305"/>
      <c r="J130" s="191">
        <f>J103</f>
        <v>200.53656666666666</v>
      </c>
    </row>
    <row r="131" spans="2:10" x14ac:dyDescent="0.25">
      <c r="B131" s="189"/>
      <c r="C131" s="306" t="s">
        <v>315</v>
      </c>
      <c r="D131" s="306"/>
      <c r="E131" s="306"/>
      <c r="F131" s="306"/>
      <c r="G131" s="306"/>
      <c r="H131" s="306"/>
      <c r="I131" s="306"/>
      <c r="J131" s="196">
        <f>SUM(J126:J130)</f>
        <v>6902.6365666666661</v>
      </c>
    </row>
    <row r="132" spans="2:10" x14ac:dyDescent="0.25">
      <c r="B132" s="188" t="s">
        <v>182</v>
      </c>
      <c r="C132" s="305" t="s">
        <v>289</v>
      </c>
      <c r="D132" s="305"/>
      <c r="E132" s="305"/>
      <c r="F132" s="305"/>
      <c r="G132" s="305"/>
      <c r="H132" s="305"/>
      <c r="I132" s="305"/>
      <c r="J132" s="191">
        <f>J113</f>
        <v>1534.6399999999999</v>
      </c>
    </row>
    <row r="133" spans="2:10" ht="18" x14ac:dyDescent="0.25">
      <c r="B133" s="307" t="s">
        <v>316</v>
      </c>
      <c r="C133" s="307"/>
      <c r="D133" s="307"/>
      <c r="E133" s="307"/>
      <c r="F133" s="307"/>
      <c r="G133" s="307"/>
      <c r="H133" s="307"/>
      <c r="I133" s="307"/>
      <c r="J133" s="214">
        <f>TRUNC(J131+J132,2)</f>
        <v>8437.27</v>
      </c>
    </row>
    <row r="134" spans="2:10" x14ac:dyDescent="0.25">
      <c r="B134" s="10"/>
      <c r="C134" s="10"/>
      <c r="D134" s="10"/>
      <c r="E134" s="10"/>
      <c r="F134" s="10"/>
      <c r="G134" s="10"/>
      <c r="H134" s="10"/>
      <c r="I134" s="10"/>
      <c r="J134" s="11"/>
    </row>
    <row r="135" spans="2:10" x14ac:dyDescent="0.25">
      <c r="B135" s="10"/>
      <c r="C135" s="10"/>
      <c r="D135" s="10"/>
      <c r="E135" s="10"/>
      <c r="F135" s="10"/>
      <c r="G135" s="10"/>
      <c r="H135" s="10"/>
      <c r="I135" s="10"/>
      <c r="J135" s="10"/>
    </row>
    <row r="136" spans="2:10" x14ac:dyDescent="0.25">
      <c r="B136" s="15"/>
      <c r="C136" s="16"/>
      <c r="D136" s="10"/>
      <c r="E136" s="10"/>
      <c r="F136" s="10"/>
      <c r="G136" s="10"/>
      <c r="H136" s="10"/>
      <c r="I136" s="10"/>
      <c r="J136" s="10"/>
    </row>
    <row r="137" spans="2:10" x14ac:dyDescent="0.25">
      <c r="B137" s="12"/>
      <c r="C137" s="12"/>
      <c r="D137" s="13"/>
    </row>
    <row r="138" spans="2:10" x14ac:dyDescent="0.25">
      <c r="B138" s="14"/>
      <c r="C138" s="10"/>
      <c r="D138" s="10"/>
    </row>
    <row r="139" spans="2:10" x14ac:dyDescent="0.25">
      <c r="B139" s="14"/>
      <c r="C139" s="10"/>
      <c r="D139" s="10"/>
    </row>
  </sheetData>
  <mergeCells count="139">
    <mergeCell ref="C129:I129"/>
    <mergeCell ref="C130:I130"/>
    <mergeCell ref="C131:I131"/>
    <mergeCell ref="C132:I132"/>
    <mergeCell ref="B133:I133"/>
    <mergeCell ref="C122:H122"/>
    <mergeCell ref="B124:J124"/>
    <mergeCell ref="B125:I125"/>
    <mergeCell ref="C126:I126"/>
    <mergeCell ref="C127:I127"/>
    <mergeCell ref="C128:I128"/>
    <mergeCell ref="B113:H113"/>
    <mergeCell ref="C114:J114"/>
    <mergeCell ref="C115:H115"/>
    <mergeCell ref="C116:H116"/>
    <mergeCell ref="C118:H118"/>
    <mergeCell ref="C120:H120"/>
    <mergeCell ref="C107:H107"/>
    <mergeCell ref="C108:H108"/>
    <mergeCell ref="C109:H109"/>
    <mergeCell ref="C110:H110"/>
    <mergeCell ref="C111:H111"/>
    <mergeCell ref="C112:H112"/>
    <mergeCell ref="C101:H101"/>
    <mergeCell ref="C102:H102"/>
    <mergeCell ref="B103:H103"/>
    <mergeCell ref="B104:J104"/>
    <mergeCell ref="B105:J105"/>
    <mergeCell ref="C106:H106"/>
    <mergeCell ref="B95:I95"/>
    <mergeCell ref="B96:J96"/>
    <mergeCell ref="B97:J97"/>
    <mergeCell ref="C98:H98"/>
    <mergeCell ref="C99:H99"/>
    <mergeCell ref="C100:H100"/>
    <mergeCell ref="B89:H89"/>
    <mergeCell ref="B90:J90"/>
    <mergeCell ref="B91:J91"/>
    <mergeCell ref="B92:I92"/>
    <mergeCell ref="C93:I93"/>
    <mergeCell ref="C94:I94"/>
    <mergeCell ref="C83:H83"/>
    <mergeCell ref="C84:H84"/>
    <mergeCell ref="B85:H85"/>
    <mergeCell ref="B86:J86"/>
    <mergeCell ref="B87:H87"/>
    <mergeCell ref="C88:H88"/>
    <mergeCell ref="B77:J77"/>
    <mergeCell ref="B78:H78"/>
    <mergeCell ref="C79:H79"/>
    <mergeCell ref="C80:H80"/>
    <mergeCell ref="C81:H81"/>
    <mergeCell ref="C82:H82"/>
    <mergeCell ref="C71:H71"/>
    <mergeCell ref="C72:H72"/>
    <mergeCell ref="C73:H73"/>
    <mergeCell ref="B74:H74"/>
    <mergeCell ref="C75:J75"/>
    <mergeCell ref="B76:J76"/>
    <mergeCell ref="B65:I65"/>
    <mergeCell ref="B66:J66"/>
    <mergeCell ref="B67:J67"/>
    <mergeCell ref="C68:H68"/>
    <mergeCell ref="C69:H69"/>
    <mergeCell ref="C70:H70"/>
    <mergeCell ref="B59:J59"/>
    <mergeCell ref="B60:J60"/>
    <mergeCell ref="B61:I61"/>
    <mergeCell ref="C62:I62"/>
    <mergeCell ref="C63:I63"/>
    <mergeCell ref="C64:I64"/>
    <mergeCell ref="C53:H53"/>
    <mergeCell ref="C54:H54"/>
    <mergeCell ref="C55:H55"/>
    <mergeCell ref="C56:H56"/>
    <mergeCell ref="C57:H57"/>
    <mergeCell ref="B58:I58"/>
    <mergeCell ref="C47:H47"/>
    <mergeCell ref="C48:H48"/>
    <mergeCell ref="C49:H49"/>
    <mergeCell ref="B50:H50"/>
    <mergeCell ref="B51:J51"/>
    <mergeCell ref="B52:H52"/>
    <mergeCell ref="B41:H41"/>
    <mergeCell ref="C42:H42"/>
    <mergeCell ref="C43:H43"/>
    <mergeCell ref="C44:H44"/>
    <mergeCell ref="C45:H45"/>
    <mergeCell ref="C46:H46"/>
    <mergeCell ref="B35:J35"/>
    <mergeCell ref="B36:H36"/>
    <mergeCell ref="C37:H37"/>
    <mergeCell ref="C38:H38"/>
    <mergeCell ref="B39:H39"/>
    <mergeCell ref="B40:J40"/>
    <mergeCell ref="C28:H28"/>
    <mergeCell ref="C29:H29"/>
    <mergeCell ref="C30:H30"/>
    <mergeCell ref="C31:H31"/>
    <mergeCell ref="C32:H32"/>
    <mergeCell ref="B33:I33"/>
    <mergeCell ref="C23:H23"/>
    <mergeCell ref="I23:J23"/>
    <mergeCell ref="B24:J24"/>
    <mergeCell ref="B25:J25"/>
    <mergeCell ref="C26:H26"/>
    <mergeCell ref="C27:H27"/>
    <mergeCell ref="C20:H20"/>
    <mergeCell ref="I20:J20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B14:J14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B1:J1"/>
    <mergeCell ref="B2:J2"/>
    <mergeCell ref="B3:J3"/>
    <mergeCell ref="B4:J4"/>
    <mergeCell ref="B5:J5"/>
    <mergeCell ref="B6:J6"/>
    <mergeCell ref="C11:H11"/>
    <mergeCell ref="I11:J11"/>
    <mergeCell ref="C12:H12"/>
    <mergeCell ref="I12:J12"/>
  </mergeCells>
  <pageMargins left="0.51181102362204722" right="0.51181102362204722" top="0.78740157480314965" bottom="0.78740157480314965" header="0.31496062992125984" footer="0.31496062992125984"/>
  <pageSetup paperSize="9" scale="64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6A773-5932-4BB0-8DDF-B2703DFF3912}">
  <sheetPr>
    <pageSetUpPr fitToPage="1"/>
  </sheetPr>
  <dimension ref="B1:M58"/>
  <sheetViews>
    <sheetView showGridLines="0" zoomScale="80" zoomScaleNormal="80" workbookViewId="0">
      <selection activeCell="B1" sqref="B1:J1"/>
    </sheetView>
  </sheetViews>
  <sheetFormatPr defaultColWidth="8.85546875" defaultRowHeight="15" x14ac:dyDescent="0.25"/>
  <cols>
    <col min="1" max="1" width="3.42578125" customWidth="1"/>
    <col min="2" max="2" width="10.42578125" customWidth="1"/>
    <col min="3" max="3" width="49.5703125" bestFit="1" customWidth="1"/>
    <col min="8" max="8" width="9" bestFit="1" customWidth="1"/>
    <col min="9" max="9" width="9.42578125" bestFit="1" customWidth="1"/>
    <col min="10" max="10" width="23.5703125" customWidth="1"/>
    <col min="11" max="11" width="11.85546875" bestFit="1" customWidth="1"/>
    <col min="12" max="12" width="25.85546875" style="19" customWidth="1"/>
    <col min="13" max="13" width="63.42578125" style="19" customWidth="1"/>
  </cols>
  <sheetData>
    <row r="1" spans="2:10" x14ac:dyDescent="0.25">
      <c r="B1" s="340"/>
      <c r="C1" s="340"/>
      <c r="D1" s="340"/>
      <c r="E1" s="340"/>
      <c r="F1" s="340"/>
      <c r="G1" s="340"/>
      <c r="H1" s="340"/>
      <c r="I1" s="340"/>
      <c r="J1" s="340"/>
    </row>
    <row r="2" spans="2:10" x14ac:dyDescent="0.25">
      <c r="B2" s="341" t="s">
        <v>138</v>
      </c>
      <c r="C2" s="341"/>
      <c r="D2" s="341"/>
      <c r="E2" s="341"/>
      <c r="F2" s="341"/>
      <c r="G2" s="341"/>
      <c r="H2" s="341"/>
      <c r="I2" s="341"/>
      <c r="J2" s="341"/>
    </row>
    <row r="3" spans="2:10" x14ac:dyDescent="0.25">
      <c r="B3" s="341" t="s">
        <v>139</v>
      </c>
      <c r="C3" s="341"/>
      <c r="D3" s="341"/>
      <c r="E3" s="341"/>
      <c r="F3" s="341"/>
      <c r="G3" s="341"/>
      <c r="H3" s="341"/>
      <c r="I3" s="341"/>
      <c r="J3" s="341"/>
    </row>
    <row r="4" spans="2:10" x14ac:dyDescent="0.25">
      <c r="B4" s="342" t="s">
        <v>140</v>
      </c>
      <c r="C4" s="342"/>
      <c r="D4" s="342"/>
      <c r="E4" s="342"/>
      <c r="F4" s="342"/>
      <c r="G4" s="342"/>
      <c r="H4" s="342"/>
      <c r="I4" s="342"/>
      <c r="J4" s="342"/>
    </row>
    <row r="5" spans="2:10" x14ac:dyDescent="0.25">
      <c r="B5" s="337"/>
      <c r="C5" s="337"/>
      <c r="D5" s="337"/>
      <c r="E5" s="337"/>
      <c r="F5" s="337"/>
      <c r="G5" s="337"/>
      <c r="H5" s="337"/>
      <c r="I5" s="337"/>
      <c r="J5" s="337"/>
    </row>
    <row r="6" spans="2:10" x14ac:dyDescent="0.25">
      <c r="B6" s="343" t="s">
        <v>322</v>
      </c>
      <c r="C6" s="343"/>
      <c r="D6" s="343"/>
      <c r="E6" s="343"/>
      <c r="F6" s="343"/>
      <c r="G6" s="343"/>
      <c r="H6" s="343"/>
      <c r="I6" s="343"/>
      <c r="J6" s="343"/>
    </row>
    <row r="7" spans="2:10" x14ac:dyDescent="0.25">
      <c r="B7" s="339"/>
      <c r="C7" s="339"/>
      <c r="D7" s="339"/>
      <c r="E7" s="339"/>
      <c r="F7" s="339"/>
      <c r="G7" s="339"/>
      <c r="H7" s="339"/>
      <c r="I7" s="339"/>
      <c r="J7" s="339"/>
    </row>
    <row r="8" spans="2:10" x14ac:dyDescent="0.25">
      <c r="B8" s="308" t="s">
        <v>142</v>
      </c>
      <c r="C8" s="308"/>
      <c r="D8" s="308"/>
      <c r="E8" s="308"/>
      <c r="F8" s="308"/>
      <c r="G8" s="308"/>
      <c r="H8" s="308"/>
      <c r="I8" s="308"/>
      <c r="J8" s="308"/>
    </row>
    <row r="9" spans="2:10" x14ac:dyDescent="0.25">
      <c r="B9" s="188" t="s">
        <v>143</v>
      </c>
      <c r="C9" s="305" t="s">
        <v>144</v>
      </c>
      <c r="D9" s="305"/>
      <c r="E9" s="305"/>
      <c r="F9" s="305"/>
      <c r="G9" s="305"/>
      <c r="H9" s="305"/>
      <c r="I9" s="335"/>
      <c r="J9" s="336"/>
    </row>
    <row r="10" spans="2:10" x14ac:dyDescent="0.25">
      <c r="B10" s="188" t="s">
        <v>145</v>
      </c>
      <c r="C10" s="305" t="s">
        <v>146</v>
      </c>
      <c r="D10" s="305"/>
      <c r="E10" s="305"/>
      <c r="F10" s="305"/>
      <c r="G10" s="305"/>
      <c r="H10" s="305"/>
      <c r="I10" s="336"/>
      <c r="J10" s="336"/>
    </row>
    <row r="11" spans="2:10" ht="44.45" customHeight="1" x14ac:dyDescent="0.25">
      <c r="B11" s="188" t="s">
        <v>148</v>
      </c>
      <c r="C11" s="305" t="s">
        <v>149</v>
      </c>
      <c r="D11" s="305"/>
      <c r="E11" s="305"/>
      <c r="F11" s="305"/>
      <c r="G11" s="305"/>
      <c r="H11" s="305"/>
      <c r="I11" s="344" t="s">
        <v>323</v>
      </c>
      <c r="J11" s="336"/>
    </row>
    <row r="12" spans="2:10" x14ac:dyDescent="0.25">
      <c r="B12" s="188" t="s">
        <v>151</v>
      </c>
      <c r="C12" s="305" t="s">
        <v>152</v>
      </c>
      <c r="D12" s="305"/>
      <c r="E12" s="305"/>
      <c r="F12" s="305"/>
      <c r="G12" s="305"/>
      <c r="H12" s="305"/>
      <c r="I12" s="336">
        <v>12</v>
      </c>
      <c r="J12" s="336"/>
    </row>
    <row r="13" spans="2:10" x14ac:dyDescent="0.25">
      <c r="B13" s="69"/>
      <c r="C13" s="67"/>
      <c r="D13" s="67"/>
      <c r="E13" s="67"/>
      <c r="F13" s="67"/>
      <c r="G13" s="67"/>
      <c r="H13" s="67"/>
      <c r="I13" s="69"/>
      <c r="J13" s="69"/>
    </row>
    <row r="14" spans="2:10" x14ac:dyDescent="0.25">
      <c r="B14" s="308" t="s">
        <v>153</v>
      </c>
      <c r="C14" s="308"/>
      <c r="D14" s="308"/>
      <c r="E14" s="308"/>
      <c r="F14" s="308"/>
      <c r="G14" s="308"/>
      <c r="H14" s="308"/>
      <c r="I14" s="308"/>
      <c r="J14" s="308"/>
    </row>
    <row r="15" spans="2:10" x14ac:dyDescent="0.25">
      <c r="B15" s="336" t="s">
        <v>154</v>
      </c>
      <c r="C15" s="336"/>
      <c r="D15" s="336" t="s">
        <v>155</v>
      </c>
      <c r="E15" s="336"/>
      <c r="F15" s="336" t="s">
        <v>156</v>
      </c>
      <c r="G15" s="336"/>
      <c r="H15" s="336"/>
      <c r="I15" s="336"/>
      <c r="J15" s="336"/>
    </row>
    <row r="16" spans="2:10" x14ac:dyDescent="0.25">
      <c r="B16" s="336" t="s">
        <v>324</v>
      </c>
      <c r="C16" s="336"/>
      <c r="D16" s="336" t="s">
        <v>325</v>
      </c>
      <c r="E16" s="336"/>
      <c r="F16" s="336">
        <v>1</v>
      </c>
      <c r="G16" s="336"/>
      <c r="H16" s="336"/>
      <c r="I16" s="336"/>
      <c r="J16" s="336"/>
    </row>
    <row r="17" spans="2:13" x14ac:dyDescent="0.25">
      <c r="B17" s="69"/>
      <c r="C17" s="67"/>
      <c r="D17" s="67"/>
      <c r="E17" s="67"/>
      <c r="F17" s="67"/>
      <c r="G17" s="67"/>
      <c r="H17" s="67"/>
      <c r="I17" s="69"/>
      <c r="J17" s="69"/>
    </row>
    <row r="18" spans="2:13" x14ac:dyDescent="0.25">
      <c r="B18" s="308" t="s">
        <v>159</v>
      </c>
      <c r="C18" s="308"/>
      <c r="D18" s="308"/>
      <c r="E18" s="308"/>
      <c r="F18" s="308"/>
      <c r="G18" s="308"/>
      <c r="H18" s="308"/>
      <c r="I18" s="308"/>
      <c r="J18" s="308"/>
    </row>
    <row r="19" spans="2:13" x14ac:dyDescent="0.25">
      <c r="B19" s="188">
        <v>1</v>
      </c>
      <c r="C19" s="305" t="s">
        <v>160</v>
      </c>
      <c r="D19" s="305"/>
      <c r="E19" s="305"/>
      <c r="F19" s="305"/>
      <c r="G19" s="305"/>
      <c r="H19" s="305"/>
      <c r="I19" s="336" t="s">
        <v>161</v>
      </c>
      <c r="J19" s="336"/>
    </row>
    <row r="20" spans="2:13" x14ac:dyDescent="0.25">
      <c r="B20" s="188">
        <v>2</v>
      </c>
      <c r="C20" s="305" t="s">
        <v>162</v>
      </c>
      <c r="D20" s="305"/>
      <c r="E20" s="305"/>
      <c r="F20" s="305"/>
      <c r="G20" s="305"/>
      <c r="H20" s="305"/>
      <c r="I20" s="336" t="s">
        <v>326</v>
      </c>
      <c r="J20" s="336"/>
    </row>
    <row r="21" spans="2:13" x14ac:dyDescent="0.25">
      <c r="B21" s="188">
        <v>3</v>
      </c>
      <c r="C21" s="305" t="s">
        <v>327</v>
      </c>
      <c r="D21" s="305"/>
      <c r="E21" s="305"/>
      <c r="F21" s="305"/>
      <c r="G21" s="305"/>
      <c r="H21" s="305"/>
      <c r="I21" s="338">
        <v>121.69</v>
      </c>
      <c r="J21" s="336"/>
    </row>
    <row r="22" spans="2:13" x14ac:dyDescent="0.25">
      <c r="B22" s="188">
        <v>4</v>
      </c>
      <c r="C22" s="305" t="s">
        <v>165</v>
      </c>
      <c r="D22" s="305"/>
      <c r="E22" s="305"/>
      <c r="F22" s="305"/>
      <c r="G22" s="305"/>
      <c r="H22" s="305"/>
      <c r="I22" s="306" t="s">
        <v>328</v>
      </c>
      <c r="J22" s="306"/>
    </row>
    <row r="23" spans="2:13" x14ac:dyDescent="0.25">
      <c r="B23" s="188">
        <v>5</v>
      </c>
      <c r="C23" s="305" t="s">
        <v>166</v>
      </c>
      <c r="D23" s="305"/>
      <c r="E23" s="305"/>
      <c r="F23" s="305"/>
      <c r="G23" s="305"/>
      <c r="H23" s="305"/>
      <c r="I23" s="335"/>
      <c r="J23" s="336"/>
    </row>
    <row r="24" spans="2:13" x14ac:dyDescent="0.25">
      <c r="B24" s="188">
        <v>6</v>
      </c>
      <c r="C24" s="305" t="s">
        <v>329</v>
      </c>
      <c r="D24" s="305"/>
      <c r="E24" s="305"/>
      <c r="F24" s="305"/>
      <c r="G24" s="305"/>
      <c r="H24" s="305"/>
      <c r="I24" s="345">
        <f>TRUNC(8*I21,2)</f>
        <v>973.52</v>
      </c>
      <c r="J24" s="345"/>
    </row>
    <row r="25" spans="2:13" x14ac:dyDescent="0.25">
      <c r="B25" s="69"/>
      <c r="C25" s="67"/>
      <c r="D25" s="67"/>
      <c r="E25" s="67"/>
      <c r="F25" s="67"/>
      <c r="G25" s="67"/>
      <c r="H25" s="67"/>
      <c r="I25" s="71"/>
      <c r="J25" s="69"/>
    </row>
    <row r="26" spans="2:13" x14ac:dyDescent="0.25">
      <c r="B26" s="346" t="s">
        <v>330</v>
      </c>
      <c r="C26" s="347"/>
      <c r="D26" s="347"/>
      <c r="E26" s="347"/>
      <c r="F26" s="347"/>
      <c r="G26" s="347"/>
      <c r="H26" s="347"/>
      <c r="I26" s="347"/>
      <c r="J26" s="348"/>
    </row>
    <row r="27" spans="2:13" x14ac:dyDescent="0.25">
      <c r="B27" s="349"/>
      <c r="C27" s="339"/>
      <c r="D27" s="339"/>
      <c r="E27" s="339"/>
      <c r="F27" s="339"/>
      <c r="G27" s="339"/>
      <c r="H27" s="339"/>
      <c r="I27" s="339"/>
      <c r="J27" s="350"/>
    </row>
    <row r="28" spans="2:13" x14ac:dyDescent="0.25">
      <c r="B28" s="333"/>
      <c r="C28" s="334"/>
      <c r="D28" s="334"/>
      <c r="E28" s="334"/>
      <c r="F28" s="334"/>
      <c r="G28" s="334"/>
      <c r="H28" s="334"/>
      <c r="I28" s="334"/>
      <c r="J28" s="334"/>
    </row>
    <row r="29" spans="2:13" x14ac:dyDescent="0.25">
      <c r="B29" s="317" t="s">
        <v>289</v>
      </c>
      <c r="C29" s="317"/>
      <c r="D29" s="317"/>
      <c r="E29" s="317"/>
      <c r="F29" s="317"/>
      <c r="G29" s="317"/>
      <c r="H29" s="317"/>
      <c r="I29" s="317"/>
      <c r="J29" s="317"/>
    </row>
    <row r="30" spans="2:13" x14ac:dyDescent="0.25">
      <c r="B30" s="189">
        <v>6</v>
      </c>
      <c r="C30" s="306" t="s">
        <v>290</v>
      </c>
      <c r="D30" s="306"/>
      <c r="E30" s="306"/>
      <c r="F30" s="306"/>
      <c r="G30" s="306"/>
      <c r="H30" s="306"/>
      <c r="I30" s="189" t="s">
        <v>170</v>
      </c>
      <c r="J30" s="189" t="s">
        <v>171</v>
      </c>
      <c r="L30" s="141" t="s">
        <v>172</v>
      </c>
      <c r="M30" s="141" t="s">
        <v>173</v>
      </c>
    </row>
    <row r="31" spans="2:13" x14ac:dyDescent="0.25">
      <c r="B31" s="189" t="s">
        <v>143</v>
      </c>
      <c r="C31" s="305" t="s">
        <v>291</v>
      </c>
      <c r="D31" s="305"/>
      <c r="E31" s="305"/>
      <c r="F31" s="305"/>
      <c r="G31" s="305"/>
      <c r="H31" s="305"/>
      <c r="I31" s="211">
        <v>5.2699999999999997E-2</v>
      </c>
      <c r="J31" s="191">
        <f>TRUNC((I24*I31),2)</f>
        <v>51.3</v>
      </c>
      <c r="L31" s="184"/>
      <c r="M31" s="184" t="s">
        <v>292</v>
      </c>
    </row>
    <row r="32" spans="2:13" x14ac:dyDescent="0.25">
      <c r="B32" s="189" t="s">
        <v>145</v>
      </c>
      <c r="C32" s="305" t="s">
        <v>293</v>
      </c>
      <c r="D32" s="305"/>
      <c r="E32" s="305"/>
      <c r="F32" s="305"/>
      <c r="G32" s="305"/>
      <c r="H32" s="305"/>
      <c r="I32" s="211">
        <v>6.0699999999999997E-2</v>
      </c>
      <c r="J32" s="191">
        <f>TRUNC(((I24+J31)*I32),2)</f>
        <v>62.2</v>
      </c>
      <c r="L32" s="184"/>
      <c r="M32" s="184" t="s">
        <v>294</v>
      </c>
    </row>
    <row r="33" spans="2:13" x14ac:dyDescent="0.25">
      <c r="B33" s="189" t="s">
        <v>148</v>
      </c>
      <c r="C33" s="313" t="s">
        <v>295</v>
      </c>
      <c r="D33" s="313"/>
      <c r="E33" s="313"/>
      <c r="F33" s="313"/>
      <c r="G33" s="313"/>
      <c r="H33" s="313"/>
      <c r="I33" s="194"/>
      <c r="J33" s="212"/>
      <c r="L33" s="22"/>
      <c r="M33" s="22"/>
    </row>
    <row r="34" spans="2:13" x14ac:dyDescent="0.25">
      <c r="B34" s="189" t="s">
        <v>296</v>
      </c>
      <c r="C34" s="305" t="s">
        <v>297</v>
      </c>
      <c r="D34" s="305"/>
      <c r="E34" s="305"/>
      <c r="F34" s="305"/>
      <c r="G34" s="305"/>
      <c r="H34" s="305"/>
      <c r="I34" s="213">
        <v>6.4999999999999997E-3</v>
      </c>
      <c r="J34" s="191">
        <f>TRUNC(I34*((I24+J31+J32)/(1-I39)),2)</f>
        <v>7.73</v>
      </c>
      <c r="L34" s="184"/>
      <c r="M34" s="184" t="s">
        <v>298</v>
      </c>
    </row>
    <row r="35" spans="2:13" x14ac:dyDescent="0.25">
      <c r="B35" s="189" t="s">
        <v>299</v>
      </c>
      <c r="C35" s="305" t="s">
        <v>300</v>
      </c>
      <c r="D35" s="305"/>
      <c r="E35" s="305"/>
      <c r="F35" s="305"/>
      <c r="G35" s="305"/>
      <c r="H35" s="305"/>
      <c r="I35" s="213">
        <v>0.03</v>
      </c>
      <c r="J35" s="191">
        <f>TRUNC(I35*(I24+J31+J32)/(1-I39),2)</f>
        <v>35.69</v>
      </c>
      <c r="L35" s="184"/>
      <c r="M35" s="184" t="s">
        <v>301</v>
      </c>
    </row>
    <row r="36" spans="2:13" x14ac:dyDescent="0.25">
      <c r="B36" s="189" t="s">
        <v>302</v>
      </c>
      <c r="C36" s="305" t="s">
        <v>303</v>
      </c>
      <c r="D36" s="305"/>
      <c r="E36" s="305"/>
      <c r="F36" s="305"/>
      <c r="G36" s="305"/>
      <c r="H36" s="305"/>
      <c r="I36" s="213">
        <v>0.05</v>
      </c>
      <c r="J36" s="191">
        <f>TRUNC(I36*(I24+J31+J32)/(1-I39),2)</f>
        <v>59.49</v>
      </c>
      <c r="L36" s="23"/>
      <c r="M36" s="23" t="s">
        <v>304</v>
      </c>
    </row>
    <row r="37" spans="2:13" x14ac:dyDescent="0.25">
      <c r="B37" s="306" t="s">
        <v>305</v>
      </c>
      <c r="C37" s="306"/>
      <c r="D37" s="306"/>
      <c r="E37" s="306"/>
      <c r="F37" s="306"/>
      <c r="G37" s="306"/>
      <c r="H37" s="306"/>
      <c r="I37" s="213">
        <f>SUM(I31:I36)</f>
        <v>0.19990000000000002</v>
      </c>
      <c r="J37" s="196">
        <f>SUM(J31:J36)</f>
        <v>216.41000000000003</v>
      </c>
    </row>
    <row r="38" spans="2:13" x14ac:dyDescent="0.25">
      <c r="B38" s="69"/>
      <c r="C38" s="309"/>
      <c r="D38" s="309"/>
      <c r="E38" s="309"/>
      <c r="F38" s="309"/>
      <c r="G38" s="309"/>
      <c r="H38" s="309"/>
      <c r="I38" s="309"/>
      <c r="J38" s="309"/>
      <c r="L38" s="22"/>
      <c r="M38" s="22"/>
    </row>
    <row r="39" spans="2:13" x14ac:dyDescent="0.25">
      <c r="B39" s="143" t="s">
        <v>306</v>
      </c>
      <c r="C39" s="310" t="s">
        <v>307</v>
      </c>
      <c r="D39" s="310"/>
      <c r="E39" s="310"/>
      <c r="F39" s="310"/>
      <c r="G39" s="310"/>
      <c r="H39" s="310"/>
      <c r="I39" s="144">
        <f>I34+I35+I36</f>
        <v>8.6499999999999994E-2</v>
      </c>
      <c r="J39" s="145"/>
    </row>
    <row r="40" spans="2:13" x14ac:dyDescent="0.25">
      <c r="B40" s="3"/>
      <c r="C40" s="311">
        <v>100</v>
      </c>
      <c r="D40" s="311"/>
      <c r="E40" s="311"/>
      <c r="F40" s="311"/>
      <c r="G40" s="311"/>
      <c r="H40" s="311"/>
      <c r="I40" s="4"/>
      <c r="J40" s="5"/>
    </row>
    <row r="41" spans="2:13" x14ac:dyDescent="0.25">
      <c r="B41" s="6"/>
      <c r="C41" s="68"/>
      <c r="D41" s="68"/>
      <c r="E41" s="68"/>
      <c r="F41" s="68"/>
      <c r="G41" s="68"/>
      <c r="H41" s="68"/>
      <c r="I41" s="4"/>
      <c r="J41" s="5"/>
    </row>
    <row r="42" spans="2:13" x14ac:dyDescent="0.25">
      <c r="B42" s="3" t="s">
        <v>308</v>
      </c>
      <c r="C42" s="311" t="s">
        <v>309</v>
      </c>
      <c r="D42" s="311"/>
      <c r="E42" s="311"/>
      <c r="F42" s="311"/>
      <c r="G42" s="311"/>
      <c r="H42" s="311"/>
      <c r="I42" s="4"/>
      <c r="J42" s="5">
        <f>I24+J31+J32</f>
        <v>1087.02</v>
      </c>
    </row>
    <row r="43" spans="2:13" x14ac:dyDescent="0.25">
      <c r="B43" s="3"/>
      <c r="C43" s="68"/>
      <c r="D43" s="68"/>
      <c r="E43" s="68"/>
      <c r="F43" s="68"/>
      <c r="G43" s="68"/>
      <c r="H43" s="68"/>
      <c r="I43" s="4"/>
      <c r="J43" s="5"/>
    </row>
    <row r="44" spans="2:13" x14ac:dyDescent="0.25">
      <c r="B44" s="3" t="s">
        <v>310</v>
      </c>
      <c r="C44" s="311" t="s">
        <v>311</v>
      </c>
      <c r="D44" s="311"/>
      <c r="E44" s="311"/>
      <c r="F44" s="311"/>
      <c r="G44" s="311"/>
      <c r="H44" s="311"/>
      <c r="I44" s="4"/>
      <c r="J44" s="5">
        <f>TRUNC(J42/(1-I39),2)</f>
        <v>1189.95</v>
      </c>
    </row>
    <row r="45" spans="2:13" x14ac:dyDescent="0.25">
      <c r="B45" s="3"/>
      <c r="C45" s="68"/>
      <c r="D45" s="68"/>
      <c r="E45" s="68"/>
      <c r="F45" s="68"/>
      <c r="G45" s="68"/>
      <c r="H45" s="68"/>
      <c r="I45" s="4"/>
      <c r="J45" s="5"/>
    </row>
    <row r="46" spans="2:13" x14ac:dyDescent="0.25">
      <c r="B46" s="7"/>
      <c r="C46" s="312" t="s">
        <v>312</v>
      </c>
      <c r="D46" s="312"/>
      <c r="E46" s="312"/>
      <c r="F46" s="312"/>
      <c r="G46" s="312"/>
      <c r="H46" s="312"/>
      <c r="I46" s="8"/>
      <c r="J46" s="9">
        <f>J44-J42</f>
        <v>102.93000000000006</v>
      </c>
    </row>
    <row r="47" spans="2:13" x14ac:dyDescent="0.25">
      <c r="B47" s="69"/>
      <c r="C47" s="69"/>
      <c r="D47" s="69"/>
      <c r="E47" s="69"/>
      <c r="F47" s="69"/>
      <c r="G47" s="69"/>
      <c r="H47" s="69"/>
      <c r="I47" s="69"/>
      <c r="J47" s="2"/>
    </row>
    <row r="48" spans="2:13" x14ac:dyDescent="0.25">
      <c r="B48" s="308" t="s">
        <v>313</v>
      </c>
      <c r="C48" s="308"/>
      <c r="D48" s="308"/>
      <c r="E48" s="308"/>
      <c r="F48" s="308"/>
      <c r="G48" s="308"/>
      <c r="H48" s="308"/>
      <c r="I48" s="308"/>
      <c r="J48" s="308"/>
    </row>
    <row r="49" spans="2:10" x14ac:dyDescent="0.25">
      <c r="B49" s="306" t="s">
        <v>314</v>
      </c>
      <c r="C49" s="306"/>
      <c r="D49" s="306"/>
      <c r="E49" s="306"/>
      <c r="F49" s="306"/>
      <c r="G49" s="306"/>
      <c r="H49" s="306"/>
      <c r="I49" s="306"/>
      <c r="J49" s="189" t="s">
        <v>171</v>
      </c>
    </row>
    <row r="50" spans="2:10" x14ac:dyDescent="0.25">
      <c r="B50" s="188" t="s">
        <v>143</v>
      </c>
      <c r="C50" s="305" t="s">
        <v>168</v>
      </c>
      <c r="D50" s="305"/>
      <c r="E50" s="305"/>
      <c r="F50" s="305"/>
      <c r="G50" s="305"/>
      <c r="H50" s="305"/>
      <c r="I50" s="305"/>
      <c r="J50" s="191">
        <f>I24</f>
        <v>973.52</v>
      </c>
    </row>
    <row r="51" spans="2:10" x14ac:dyDescent="0.25">
      <c r="B51" s="188" t="s">
        <v>182</v>
      </c>
      <c r="C51" s="305" t="s">
        <v>289</v>
      </c>
      <c r="D51" s="305"/>
      <c r="E51" s="305"/>
      <c r="F51" s="305"/>
      <c r="G51" s="305"/>
      <c r="H51" s="305"/>
      <c r="I51" s="305"/>
      <c r="J51" s="191">
        <f>J37</f>
        <v>216.41000000000003</v>
      </c>
    </row>
    <row r="52" spans="2:10" ht="18" x14ac:dyDescent="0.25">
      <c r="B52" s="307" t="s">
        <v>316</v>
      </c>
      <c r="C52" s="307"/>
      <c r="D52" s="307"/>
      <c r="E52" s="307"/>
      <c r="F52" s="307"/>
      <c r="G52" s="307"/>
      <c r="H52" s="307"/>
      <c r="I52" s="307"/>
      <c r="J52" s="214">
        <f>TRUNC(J50+J51,2)</f>
        <v>1189.93</v>
      </c>
    </row>
    <row r="53" spans="2:10" x14ac:dyDescent="0.25">
      <c r="B53" s="10"/>
      <c r="C53" s="10"/>
      <c r="D53" s="10"/>
      <c r="E53" s="10"/>
      <c r="F53" s="10"/>
      <c r="G53" s="10"/>
      <c r="H53" s="10"/>
      <c r="I53" s="10"/>
      <c r="J53" s="11"/>
    </row>
    <row r="54" spans="2:10" x14ac:dyDescent="0.25">
      <c r="B54" s="10"/>
      <c r="C54" s="10"/>
      <c r="D54" s="10"/>
      <c r="E54" s="10"/>
      <c r="F54" s="10"/>
      <c r="G54" s="10"/>
      <c r="H54" s="10"/>
      <c r="I54" s="10"/>
      <c r="J54" s="10"/>
    </row>
    <row r="55" spans="2:10" x14ac:dyDescent="0.25">
      <c r="B55" s="15"/>
      <c r="C55" s="16"/>
      <c r="D55" s="10"/>
      <c r="E55" s="10"/>
      <c r="F55" s="10"/>
      <c r="G55" s="10"/>
      <c r="H55" s="10"/>
      <c r="I55" s="10"/>
      <c r="J55" s="10"/>
    </row>
    <row r="56" spans="2:10" x14ac:dyDescent="0.25">
      <c r="B56" s="12"/>
      <c r="C56" s="12"/>
      <c r="D56" s="13"/>
    </row>
    <row r="57" spans="2:10" x14ac:dyDescent="0.25">
      <c r="B57" s="14"/>
      <c r="C57" s="10"/>
      <c r="D57" s="10"/>
    </row>
    <row r="58" spans="2:10" x14ac:dyDescent="0.25">
      <c r="B58" s="14"/>
      <c r="C58" s="10"/>
      <c r="D58" s="10"/>
    </row>
  </sheetData>
  <mergeCells count="58">
    <mergeCell ref="C23:H23"/>
    <mergeCell ref="I23:J23"/>
    <mergeCell ref="C51:I51"/>
    <mergeCell ref="B52:I52"/>
    <mergeCell ref="B26:J27"/>
    <mergeCell ref="C46:H46"/>
    <mergeCell ref="B48:J48"/>
    <mergeCell ref="B49:I49"/>
    <mergeCell ref="C50:I50"/>
    <mergeCell ref="B37:H37"/>
    <mergeCell ref="C38:J38"/>
    <mergeCell ref="C39:H39"/>
    <mergeCell ref="C40:H40"/>
    <mergeCell ref="C42:H42"/>
    <mergeCell ref="C44:H44"/>
    <mergeCell ref="C31:H31"/>
    <mergeCell ref="C32:H32"/>
    <mergeCell ref="C33:H33"/>
    <mergeCell ref="C34:H34"/>
    <mergeCell ref="C35:H35"/>
    <mergeCell ref="C36:H36"/>
    <mergeCell ref="B28:J28"/>
    <mergeCell ref="B29:J29"/>
    <mergeCell ref="C30:H30"/>
    <mergeCell ref="C24:H24"/>
    <mergeCell ref="I24:J24"/>
    <mergeCell ref="C20:H20"/>
    <mergeCell ref="I20:J20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11:H11"/>
    <mergeCell ref="I11:J11"/>
    <mergeCell ref="C12:H12"/>
    <mergeCell ref="I12:J12"/>
    <mergeCell ref="B14:J14"/>
    <mergeCell ref="B6:J6"/>
    <mergeCell ref="B1:J1"/>
    <mergeCell ref="B2:J2"/>
    <mergeCell ref="B3:J3"/>
    <mergeCell ref="B4:J4"/>
    <mergeCell ref="B5:J5"/>
  </mergeCells>
  <pageMargins left="0.51181102362204722" right="0.51181102362204722" top="0.78740157480314965" bottom="0.78740157480314965" header="0.31496062992125984" footer="0.31496062992125984"/>
  <pageSetup paperSize="9"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B3079-035D-4692-B519-DD5B0AAE912C}">
  <sheetPr>
    <pageSetUpPr fitToPage="1"/>
  </sheetPr>
  <dimension ref="B1:M58"/>
  <sheetViews>
    <sheetView showGridLines="0" zoomScale="80" zoomScaleNormal="80" workbookViewId="0">
      <selection activeCell="C10" sqref="C10:H10"/>
    </sheetView>
  </sheetViews>
  <sheetFormatPr defaultColWidth="8.85546875" defaultRowHeight="15" x14ac:dyDescent="0.25"/>
  <cols>
    <col min="1" max="1" width="3.42578125" customWidth="1"/>
    <col min="2" max="2" width="10.42578125" customWidth="1"/>
    <col min="3" max="3" width="49.5703125" bestFit="1" customWidth="1"/>
    <col min="8" max="8" width="9" bestFit="1" customWidth="1"/>
    <col min="9" max="9" width="9.42578125" bestFit="1" customWidth="1"/>
    <col min="10" max="10" width="23.5703125" customWidth="1"/>
    <col min="11" max="11" width="11.85546875" bestFit="1" customWidth="1"/>
    <col min="12" max="12" width="25.85546875" style="19" customWidth="1"/>
    <col min="13" max="13" width="63.42578125" style="19" customWidth="1"/>
  </cols>
  <sheetData>
    <row r="1" spans="2:10" x14ac:dyDescent="0.25">
      <c r="B1" s="340"/>
      <c r="C1" s="340"/>
      <c r="D1" s="340"/>
      <c r="E1" s="340"/>
      <c r="F1" s="340"/>
      <c r="G1" s="340"/>
      <c r="H1" s="340"/>
      <c r="I1" s="340"/>
      <c r="J1" s="340"/>
    </row>
    <row r="2" spans="2:10" x14ac:dyDescent="0.25">
      <c r="B2" s="341" t="s">
        <v>138</v>
      </c>
      <c r="C2" s="341"/>
      <c r="D2" s="341"/>
      <c r="E2" s="341"/>
      <c r="F2" s="341"/>
      <c r="G2" s="341"/>
      <c r="H2" s="341"/>
      <c r="I2" s="341"/>
      <c r="J2" s="341"/>
    </row>
    <row r="3" spans="2:10" x14ac:dyDescent="0.25">
      <c r="B3" s="341" t="s">
        <v>139</v>
      </c>
      <c r="C3" s="341"/>
      <c r="D3" s="341"/>
      <c r="E3" s="341"/>
      <c r="F3" s="341"/>
      <c r="G3" s="341"/>
      <c r="H3" s="341"/>
      <c r="I3" s="341"/>
      <c r="J3" s="341"/>
    </row>
    <row r="4" spans="2:10" x14ac:dyDescent="0.25">
      <c r="B4" s="342" t="s">
        <v>140</v>
      </c>
      <c r="C4" s="342"/>
      <c r="D4" s="342"/>
      <c r="E4" s="342"/>
      <c r="F4" s="342"/>
      <c r="G4" s="342"/>
      <c r="H4" s="342"/>
      <c r="I4" s="342"/>
      <c r="J4" s="342"/>
    </row>
    <row r="5" spans="2:10" x14ac:dyDescent="0.25">
      <c r="B5" s="337"/>
      <c r="C5" s="337"/>
      <c r="D5" s="337"/>
      <c r="E5" s="337"/>
      <c r="F5" s="337"/>
      <c r="G5" s="337"/>
      <c r="H5" s="337"/>
      <c r="I5" s="337"/>
      <c r="J5" s="337"/>
    </row>
    <row r="6" spans="2:10" x14ac:dyDescent="0.25">
      <c r="B6" s="343" t="s">
        <v>331</v>
      </c>
      <c r="C6" s="343"/>
      <c r="D6" s="343"/>
      <c r="E6" s="343"/>
      <c r="F6" s="343"/>
      <c r="G6" s="343"/>
      <c r="H6" s="343"/>
      <c r="I6" s="343"/>
      <c r="J6" s="343"/>
    </row>
    <row r="7" spans="2:10" x14ac:dyDescent="0.25">
      <c r="B7" s="339"/>
      <c r="C7" s="339"/>
      <c r="D7" s="339"/>
      <c r="E7" s="339"/>
      <c r="F7" s="339"/>
      <c r="G7" s="339"/>
      <c r="H7" s="339"/>
      <c r="I7" s="339"/>
      <c r="J7" s="339"/>
    </row>
    <row r="8" spans="2:10" x14ac:dyDescent="0.25">
      <c r="B8" s="308" t="s">
        <v>142</v>
      </c>
      <c r="C8" s="308"/>
      <c r="D8" s="308"/>
      <c r="E8" s="308"/>
      <c r="F8" s="308"/>
      <c r="G8" s="308"/>
      <c r="H8" s="308"/>
      <c r="I8" s="308"/>
      <c r="J8" s="308"/>
    </row>
    <row r="9" spans="2:10" x14ac:dyDescent="0.25">
      <c r="B9" s="188" t="s">
        <v>143</v>
      </c>
      <c r="C9" s="305" t="s">
        <v>144</v>
      </c>
      <c r="D9" s="305"/>
      <c r="E9" s="305"/>
      <c r="F9" s="305"/>
      <c r="G9" s="305"/>
      <c r="H9" s="305"/>
      <c r="I9" s="335"/>
      <c r="J9" s="336"/>
    </row>
    <row r="10" spans="2:10" x14ac:dyDescent="0.25">
      <c r="B10" s="188" t="s">
        <v>145</v>
      </c>
      <c r="C10" s="305" t="s">
        <v>146</v>
      </c>
      <c r="D10" s="305"/>
      <c r="E10" s="305"/>
      <c r="F10" s="305"/>
      <c r="G10" s="305"/>
      <c r="H10" s="305"/>
      <c r="I10" s="336"/>
      <c r="J10" s="336"/>
    </row>
    <row r="11" spans="2:10" ht="44.45" customHeight="1" x14ac:dyDescent="0.25">
      <c r="B11" s="188" t="s">
        <v>148</v>
      </c>
      <c r="C11" s="305" t="s">
        <v>149</v>
      </c>
      <c r="D11" s="305"/>
      <c r="E11" s="305"/>
      <c r="F11" s="305"/>
      <c r="G11" s="305"/>
      <c r="H11" s="305"/>
      <c r="I11" s="344" t="s">
        <v>323</v>
      </c>
      <c r="J11" s="336"/>
    </row>
    <row r="12" spans="2:10" x14ac:dyDescent="0.25">
      <c r="B12" s="188" t="s">
        <v>151</v>
      </c>
      <c r="C12" s="305" t="s">
        <v>152</v>
      </c>
      <c r="D12" s="305"/>
      <c r="E12" s="305"/>
      <c r="F12" s="305"/>
      <c r="G12" s="305"/>
      <c r="H12" s="305"/>
      <c r="I12" s="336">
        <v>12</v>
      </c>
      <c r="J12" s="336"/>
    </row>
    <row r="13" spans="2:10" x14ac:dyDescent="0.25">
      <c r="B13" s="69"/>
      <c r="C13" s="67"/>
      <c r="D13" s="67"/>
      <c r="E13" s="67"/>
      <c r="F13" s="67"/>
      <c r="G13" s="67"/>
      <c r="H13" s="67"/>
      <c r="I13" s="69"/>
      <c r="J13" s="69"/>
    </row>
    <row r="14" spans="2:10" x14ac:dyDescent="0.25">
      <c r="B14" s="308" t="s">
        <v>153</v>
      </c>
      <c r="C14" s="308"/>
      <c r="D14" s="308"/>
      <c r="E14" s="308"/>
      <c r="F14" s="308"/>
      <c r="G14" s="308"/>
      <c r="H14" s="308"/>
      <c r="I14" s="308"/>
      <c r="J14" s="308"/>
    </row>
    <row r="15" spans="2:10" x14ac:dyDescent="0.25">
      <c r="B15" s="336" t="s">
        <v>154</v>
      </c>
      <c r="C15" s="336"/>
      <c r="D15" s="336" t="s">
        <v>155</v>
      </c>
      <c r="E15" s="336"/>
      <c r="F15" s="336" t="s">
        <v>156</v>
      </c>
      <c r="G15" s="336"/>
      <c r="H15" s="336"/>
      <c r="I15" s="336"/>
      <c r="J15" s="336"/>
    </row>
    <row r="16" spans="2:10" x14ac:dyDescent="0.25">
      <c r="B16" s="336" t="s">
        <v>332</v>
      </c>
      <c r="C16" s="336"/>
      <c r="D16" s="336" t="s">
        <v>325</v>
      </c>
      <c r="E16" s="336"/>
      <c r="F16" s="336">
        <v>1</v>
      </c>
      <c r="G16" s="336"/>
      <c r="H16" s="336"/>
      <c r="I16" s="336"/>
      <c r="J16" s="336"/>
    </row>
    <row r="17" spans="2:13" x14ac:dyDescent="0.25">
      <c r="B17" s="69"/>
      <c r="C17" s="67"/>
      <c r="D17" s="67"/>
      <c r="E17" s="67"/>
      <c r="F17" s="67"/>
      <c r="G17" s="67"/>
      <c r="H17" s="67"/>
      <c r="I17" s="69"/>
      <c r="J17" s="69"/>
    </row>
    <row r="18" spans="2:13" x14ac:dyDescent="0.25">
      <c r="B18" s="308" t="s">
        <v>159</v>
      </c>
      <c r="C18" s="308"/>
      <c r="D18" s="308"/>
      <c r="E18" s="308"/>
      <c r="F18" s="308"/>
      <c r="G18" s="308"/>
      <c r="H18" s="308"/>
      <c r="I18" s="308"/>
      <c r="J18" s="308"/>
    </row>
    <row r="19" spans="2:13" x14ac:dyDescent="0.25">
      <c r="B19" s="188">
        <v>1</v>
      </c>
      <c r="C19" s="305" t="s">
        <v>160</v>
      </c>
      <c r="D19" s="305"/>
      <c r="E19" s="305"/>
      <c r="F19" s="305"/>
      <c r="G19" s="305"/>
      <c r="H19" s="305"/>
      <c r="I19" s="336" t="s">
        <v>161</v>
      </c>
      <c r="J19" s="336"/>
    </row>
    <row r="20" spans="2:13" x14ac:dyDescent="0.25">
      <c r="B20" s="188">
        <v>2</v>
      </c>
      <c r="C20" s="305" t="s">
        <v>162</v>
      </c>
      <c r="D20" s="305"/>
      <c r="E20" s="305"/>
      <c r="F20" s="305"/>
      <c r="G20" s="305"/>
      <c r="H20" s="305"/>
      <c r="I20" s="336" t="s">
        <v>333</v>
      </c>
      <c r="J20" s="336"/>
    </row>
    <row r="21" spans="2:13" x14ac:dyDescent="0.25">
      <c r="B21" s="188">
        <v>3</v>
      </c>
      <c r="C21" s="305" t="s">
        <v>327</v>
      </c>
      <c r="D21" s="305"/>
      <c r="E21" s="305"/>
      <c r="F21" s="305"/>
      <c r="G21" s="305"/>
      <c r="H21" s="305"/>
      <c r="I21" s="338">
        <v>121.69</v>
      </c>
      <c r="J21" s="336"/>
    </row>
    <row r="22" spans="2:13" x14ac:dyDescent="0.25">
      <c r="B22" s="188">
        <v>4</v>
      </c>
      <c r="C22" s="305" t="s">
        <v>165</v>
      </c>
      <c r="D22" s="305"/>
      <c r="E22" s="305"/>
      <c r="F22" s="305"/>
      <c r="G22" s="305"/>
      <c r="H22" s="305"/>
      <c r="I22" s="306" t="s">
        <v>332</v>
      </c>
      <c r="J22" s="306"/>
    </row>
    <row r="23" spans="2:13" x14ac:dyDescent="0.25">
      <c r="B23" s="188">
        <v>5</v>
      </c>
      <c r="C23" s="305" t="s">
        <v>166</v>
      </c>
      <c r="D23" s="305"/>
      <c r="E23" s="305"/>
      <c r="F23" s="305"/>
      <c r="G23" s="305"/>
      <c r="H23" s="305"/>
      <c r="I23" s="335"/>
      <c r="J23" s="336"/>
    </row>
    <row r="24" spans="2:13" x14ac:dyDescent="0.25">
      <c r="B24" s="188">
        <v>6</v>
      </c>
      <c r="C24" s="305" t="s">
        <v>334</v>
      </c>
      <c r="D24" s="305"/>
      <c r="E24" s="305"/>
      <c r="F24" s="305"/>
      <c r="G24" s="305"/>
      <c r="H24" s="305"/>
      <c r="I24" s="345">
        <f>TRUNC(4*I21,2)</f>
        <v>486.76</v>
      </c>
      <c r="J24" s="345"/>
    </row>
    <row r="25" spans="2:13" x14ac:dyDescent="0.25">
      <c r="B25" s="69"/>
      <c r="C25" s="67"/>
      <c r="D25" s="67"/>
      <c r="E25" s="67"/>
      <c r="F25" s="67"/>
      <c r="G25" s="67"/>
      <c r="H25" s="67"/>
      <c r="I25" s="71"/>
      <c r="J25" s="69"/>
    </row>
    <row r="26" spans="2:13" x14ac:dyDescent="0.25">
      <c r="B26" s="346" t="s">
        <v>330</v>
      </c>
      <c r="C26" s="347"/>
      <c r="D26" s="347"/>
      <c r="E26" s="347"/>
      <c r="F26" s="347"/>
      <c r="G26" s="347"/>
      <c r="H26" s="347"/>
      <c r="I26" s="347"/>
      <c r="J26" s="348"/>
    </row>
    <row r="27" spans="2:13" x14ac:dyDescent="0.25">
      <c r="B27" s="349"/>
      <c r="C27" s="339"/>
      <c r="D27" s="339"/>
      <c r="E27" s="339"/>
      <c r="F27" s="339"/>
      <c r="G27" s="339"/>
      <c r="H27" s="339"/>
      <c r="I27" s="339"/>
      <c r="J27" s="350"/>
    </row>
    <row r="28" spans="2:13" x14ac:dyDescent="0.25">
      <c r="B28" s="333"/>
      <c r="C28" s="334"/>
      <c r="D28" s="334"/>
      <c r="E28" s="334"/>
      <c r="F28" s="334"/>
      <c r="G28" s="334"/>
      <c r="H28" s="334"/>
      <c r="I28" s="334"/>
      <c r="J28" s="334"/>
    </row>
    <row r="29" spans="2:13" x14ac:dyDescent="0.25">
      <c r="B29" s="317" t="s">
        <v>289</v>
      </c>
      <c r="C29" s="317"/>
      <c r="D29" s="317"/>
      <c r="E29" s="317"/>
      <c r="F29" s="317"/>
      <c r="G29" s="317"/>
      <c r="H29" s="317"/>
      <c r="I29" s="317"/>
      <c r="J29" s="317"/>
    </row>
    <row r="30" spans="2:13" x14ac:dyDescent="0.25">
      <c r="B30" s="189">
        <v>6</v>
      </c>
      <c r="C30" s="306" t="s">
        <v>290</v>
      </c>
      <c r="D30" s="306"/>
      <c r="E30" s="306"/>
      <c r="F30" s="306"/>
      <c r="G30" s="306"/>
      <c r="H30" s="306"/>
      <c r="I30" s="189" t="s">
        <v>170</v>
      </c>
      <c r="J30" s="189" t="s">
        <v>171</v>
      </c>
      <c r="L30" s="141" t="s">
        <v>172</v>
      </c>
      <c r="M30" s="141" t="s">
        <v>173</v>
      </c>
    </row>
    <row r="31" spans="2:13" x14ac:dyDescent="0.25">
      <c r="B31" s="189" t="s">
        <v>143</v>
      </c>
      <c r="C31" s="305" t="s">
        <v>291</v>
      </c>
      <c r="D31" s="305"/>
      <c r="E31" s="305"/>
      <c r="F31" s="305"/>
      <c r="G31" s="305"/>
      <c r="H31" s="305"/>
      <c r="I31" s="211">
        <v>5.2699999999999997E-2</v>
      </c>
      <c r="J31" s="191">
        <f>TRUNC((I24*I31),2)</f>
        <v>25.65</v>
      </c>
      <c r="L31" s="184"/>
      <c r="M31" s="184" t="s">
        <v>292</v>
      </c>
    </row>
    <row r="32" spans="2:13" x14ac:dyDescent="0.25">
      <c r="B32" s="189" t="s">
        <v>145</v>
      </c>
      <c r="C32" s="305" t="s">
        <v>293</v>
      </c>
      <c r="D32" s="305"/>
      <c r="E32" s="305"/>
      <c r="F32" s="305"/>
      <c r="G32" s="305"/>
      <c r="H32" s="305"/>
      <c r="I32" s="211">
        <v>6.0699999999999997E-2</v>
      </c>
      <c r="J32" s="191">
        <f>TRUNC(((I24+J31)*I32),2)</f>
        <v>31.1</v>
      </c>
      <c r="L32" s="184"/>
      <c r="M32" s="184" t="s">
        <v>294</v>
      </c>
    </row>
    <row r="33" spans="2:13" x14ac:dyDescent="0.25">
      <c r="B33" s="189" t="s">
        <v>148</v>
      </c>
      <c r="C33" s="313" t="s">
        <v>295</v>
      </c>
      <c r="D33" s="313"/>
      <c r="E33" s="313"/>
      <c r="F33" s="313"/>
      <c r="G33" s="313"/>
      <c r="H33" s="313"/>
      <c r="I33" s="194"/>
      <c r="J33" s="212"/>
      <c r="L33" s="22"/>
      <c r="M33" s="22"/>
    </row>
    <row r="34" spans="2:13" x14ac:dyDescent="0.25">
      <c r="B34" s="189" t="s">
        <v>296</v>
      </c>
      <c r="C34" s="305" t="s">
        <v>297</v>
      </c>
      <c r="D34" s="305"/>
      <c r="E34" s="305"/>
      <c r="F34" s="305"/>
      <c r="G34" s="305"/>
      <c r="H34" s="305"/>
      <c r="I34" s="213">
        <v>6.4999999999999997E-3</v>
      </c>
      <c r="J34" s="191">
        <f>TRUNC(I34*((I24+J31+J32)/(1-I39)),2)</f>
        <v>3.86</v>
      </c>
      <c r="L34" s="184"/>
      <c r="M34" s="184" t="s">
        <v>298</v>
      </c>
    </row>
    <row r="35" spans="2:13" x14ac:dyDescent="0.25">
      <c r="B35" s="189" t="s">
        <v>299</v>
      </c>
      <c r="C35" s="305" t="s">
        <v>300</v>
      </c>
      <c r="D35" s="305"/>
      <c r="E35" s="305"/>
      <c r="F35" s="305"/>
      <c r="G35" s="305"/>
      <c r="H35" s="305"/>
      <c r="I35" s="213">
        <v>0.03</v>
      </c>
      <c r="J35" s="191">
        <f>TRUNC(I35*(I24+J31+J32)/(1-I39),2)</f>
        <v>17.84</v>
      </c>
      <c r="L35" s="184"/>
      <c r="M35" s="184" t="s">
        <v>301</v>
      </c>
    </row>
    <row r="36" spans="2:13" x14ac:dyDescent="0.25">
      <c r="B36" s="189" t="s">
        <v>302</v>
      </c>
      <c r="C36" s="305" t="s">
        <v>303</v>
      </c>
      <c r="D36" s="305"/>
      <c r="E36" s="305"/>
      <c r="F36" s="305"/>
      <c r="G36" s="305"/>
      <c r="H36" s="305"/>
      <c r="I36" s="213">
        <v>0.05</v>
      </c>
      <c r="J36" s="191">
        <f>TRUNC(I36*(I24+J31+J32)/(1-I39),2)</f>
        <v>29.74</v>
      </c>
      <c r="L36" s="23"/>
      <c r="M36" s="23" t="s">
        <v>304</v>
      </c>
    </row>
    <row r="37" spans="2:13" x14ac:dyDescent="0.25">
      <c r="B37" s="306" t="s">
        <v>305</v>
      </c>
      <c r="C37" s="306"/>
      <c r="D37" s="306"/>
      <c r="E37" s="306"/>
      <c r="F37" s="306"/>
      <c r="G37" s="306"/>
      <c r="H37" s="306"/>
      <c r="I37" s="213">
        <f>SUM(I31:I36)</f>
        <v>0.19990000000000002</v>
      </c>
      <c r="J37" s="196">
        <f>SUM(J31:J36)</f>
        <v>108.19</v>
      </c>
    </row>
    <row r="38" spans="2:13" x14ac:dyDescent="0.25">
      <c r="B38" s="69"/>
      <c r="C38" s="309"/>
      <c r="D38" s="309"/>
      <c r="E38" s="309"/>
      <c r="F38" s="309"/>
      <c r="G38" s="309"/>
      <c r="H38" s="309"/>
      <c r="I38" s="309"/>
      <c r="J38" s="309"/>
      <c r="L38" s="22"/>
      <c r="M38" s="22"/>
    </row>
    <row r="39" spans="2:13" x14ac:dyDescent="0.25">
      <c r="B39" s="143" t="s">
        <v>306</v>
      </c>
      <c r="C39" s="310" t="s">
        <v>307</v>
      </c>
      <c r="D39" s="310"/>
      <c r="E39" s="310"/>
      <c r="F39" s="310"/>
      <c r="G39" s="310"/>
      <c r="H39" s="310"/>
      <c r="I39" s="144">
        <f>I34+I35+I36</f>
        <v>8.6499999999999994E-2</v>
      </c>
      <c r="J39" s="145"/>
    </row>
    <row r="40" spans="2:13" x14ac:dyDescent="0.25">
      <c r="B40" s="3"/>
      <c r="C40" s="311">
        <v>100</v>
      </c>
      <c r="D40" s="311"/>
      <c r="E40" s="311"/>
      <c r="F40" s="311"/>
      <c r="G40" s="311"/>
      <c r="H40" s="311"/>
      <c r="I40" s="4"/>
      <c r="J40" s="5"/>
    </row>
    <row r="41" spans="2:13" x14ac:dyDescent="0.25">
      <c r="B41" s="6"/>
      <c r="C41" s="68"/>
      <c r="D41" s="68"/>
      <c r="E41" s="68"/>
      <c r="F41" s="68"/>
      <c r="G41" s="68"/>
      <c r="H41" s="68"/>
      <c r="I41" s="4"/>
      <c r="J41" s="5"/>
    </row>
    <row r="42" spans="2:13" x14ac:dyDescent="0.25">
      <c r="B42" s="3" t="s">
        <v>308</v>
      </c>
      <c r="C42" s="311" t="s">
        <v>309</v>
      </c>
      <c r="D42" s="311"/>
      <c r="E42" s="311"/>
      <c r="F42" s="311"/>
      <c r="G42" s="311"/>
      <c r="H42" s="311"/>
      <c r="I42" s="4"/>
      <c r="J42" s="5">
        <f>I24+J31+J32</f>
        <v>543.51</v>
      </c>
    </row>
    <row r="43" spans="2:13" x14ac:dyDescent="0.25">
      <c r="B43" s="3"/>
      <c r="C43" s="68"/>
      <c r="D43" s="68"/>
      <c r="E43" s="68"/>
      <c r="F43" s="68"/>
      <c r="G43" s="68"/>
      <c r="H43" s="68"/>
      <c r="I43" s="4"/>
      <c r="J43" s="5"/>
    </row>
    <row r="44" spans="2:13" x14ac:dyDescent="0.25">
      <c r="B44" s="3" t="s">
        <v>310</v>
      </c>
      <c r="C44" s="311" t="s">
        <v>311</v>
      </c>
      <c r="D44" s="311"/>
      <c r="E44" s="311"/>
      <c r="F44" s="311"/>
      <c r="G44" s="311"/>
      <c r="H44" s="311"/>
      <c r="I44" s="4"/>
      <c r="J44" s="5">
        <f>TRUNC(J42/(1-I39),2)</f>
        <v>594.97</v>
      </c>
    </row>
    <row r="45" spans="2:13" x14ac:dyDescent="0.25">
      <c r="B45" s="3"/>
      <c r="C45" s="68"/>
      <c r="D45" s="68"/>
      <c r="E45" s="68"/>
      <c r="F45" s="68"/>
      <c r="G45" s="68"/>
      <c r="H45" s="68"/>
      <c r="I45" s="4"/>
      <c r="J45" s="5"/>
    </row>
    <row r="46" spans="2:13" x14ac:dyDescent="0.25">
      <c r="B46" s="7"/>
      <c r="C46" s="312" t="s">
        <v>312</v>
      </c>
      <c r="D46" s="312"/>
      <c r="E46" s="312"/>
      <c r="F46" s="312"/>
      <c r="G46" s="312"/>
      <c r="H46" s="312"/>
      <c r="I46" s="8"/>
      <c r="J46" s="9">
        <f>J44-J42</f>
        <v>51.460000000000036</v>
      </c>
    </row>
    <row r="47" spans="2:13" x14ac:dyDescent="0.25">
      <c r="B47" s="69"/>
      <c r="C47" s="69"/>
      <c r="D47" s="69"/>
      <c r="E47" s="69"/>
      <c r="F47" s="69"/>
      <c r="G47" s="69"/>
      <c r="H47" s="69"/>
      <c r="I47" s="69"/>
      <c r="J47" s="2"/>
    </row>
    <row r="48" spans="2:13" x14ac:dyDescent="0.25">
      <c r="B48" s="308" t="s">
        <v>313</v>
      </c>
      <c r="C48" s="308"/>
      <c r="D48" s="308"/>
      <c r="E48" s="308"/>
      <c r="F48" s="308"/>
      <c r="G48" s="308"/>
      <c r="H48" s="308"/>
      <c r="I48" s="308"/>
      <c r="J48" s="308"/>
    </row>
    <row r="49" spans="2:10" x14ac:dyDescent="0.25">
      <c r="B49" s="306" t="s">
        <v>314</v>
      </c>
      <c r="C49" s="306"/>
      <c r="D49" s="306"/>
      <c r="E49" s="306"/>
      <c r="F49" s="306"/>
      <c r="G49" s="306"/>
      <c r="H49" s="306"/>
      <c r="I49" s="306"/>
      <c r="J49" s="189" t="s">
        <v>171</v>
      </c>
    </row>
    <row r="50" spans="2:10" x14ac:dyDescent="0.25">
      <c r="B50" s="188" t="s">
        <v>143</v>
      </c>
      <c r="C50" s="305" t="s">
        <v>168</v>
      </c>
      <c r="D50" s="305"/>
      <c r="E50" s="305"/>
      <c r="F50" s="305"/>
      <c r="G50" s="305"/>
      <c r="H50" s="305"/>
      <c r="I50" s="305"/>
      <c r="J50" s="191">
        <f>I24</f>
        <v>486.76</v>
      </c>
    </row>
    <row r="51" spans="2:10" x14ac:dyDescent="0.25">
      <c r="B51" s="188" t="s">
        <v>182</v>
      </c>
      <c r="C51" s="305" t="s">
        <v>289</v>
      </c>
      <c r="D51" s="305"/>
      <c r="E51" s="305"/>
      <c r="F51" s="305"/>
      <c r="G51" s="305"/>
      <c r="H51" s="305"/>
      <c r="I51" s="305"/>
      <c r="J51" s="191">
        <f>J37</f>
        <v>108.19</v>
      </c>
    </row>
    <row r="52" spans="2:10" ht="18" x14ac:dyDescent="0.25">
      <c r="B52" s="307" t="s">
        <v>316</v>
      </c>
      <c r="C52" s="307"/>
      <c r="D52" s="307"/>
      <c r="E52" s="307"/>
      <c r="F52" s="307"/>
      <c r="G52" s="307"/>
      <c r="H52" s="307"/>
      <c r="I52" s="307"/>
      <c r="J52" s="214">
        <f>TRUNC(J50+J51,2)</f>
        <v>594.95000000000005</v>
      </c>
    </row>
    <row r="53" spans="2:10" x14ac:dyDescent="0.25">
      <c r="B53" s="10"/>
      <c r="C53" s="10"/>
      <c r="D53" s="10"/>
      <c r="E53" s="10"/>
      <c r="F53" s="10"/>
      <c r="G53" s="10"/>
      <c r="H53" s="10"/>
      <c r="I53" s="10"/>
      <c r="J53" s="11"/>
    </row>
    <row r="54" spans="2:10" x14ac:dyDescent="0.25">
      <c r="B54" s="10"/>
      <c r="C54" s="10"/>
      <c r="D54" s="10"/>
      <c r="E54" s="10"/>
      <c r="F54" s="10"/>
      <c r="G54" s="10"/>
      <c r="H54" s="10"/>
      <c r="I54" s="10"/>
      <c r="J54" s="10"/>
    </row>
    <row r="55" spans="2:10" x14ac:dyDescent="0.25">
      <c r="B55" s="15"/>
      <c r="C55" s="16"/>
      <c r="D55" s="10"/>
      <c r="E55" s="10"/>
      <c r="F55" s="10"/>
      <c r="G55" s="10"/>
      <c r="H55" s="10"/>
      <c r="I55" s="10"/>
      <c r="J55" s="10"/>
    </row>
    <row r="56" spans="2:10" x14ac:dyDescent="0.25">
      <c r="B56" s="12"/>
      <c r="C56" s="12"/>
      <c r="D56" s="13"/>
    </row>
    <row r="57" spans="2:10" x14ac:dyDescent="0.25">
      <c r="B57" s="14"/>
      <c r="C57" s="10"/>
      <c r="D57" s="10"/>
    </row>
    <row r="58" spans="2:10" x14ac:dyDescent="0.25">
      <c r="B58" s="14"/>
      <c r="C58" s="10"/>
      <c r="D58" s="10"/>
    </row>
  </sheetData>
  <mergeCells count="58">
    <mergeCell ref="B6:J6"/>
    <mergeCell ref="B1:J1"/>
    <mergeCell ref="B2:J2"/>
    <mergeCell ref="B3:J3"/>
    <mergeCell ref="B4:J4"/>
    <mergeCell ref="B5:J5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11:H11"/>
    <mergeCell ref="I11:J11"/>
    <mergeCell ref="C12:H12"/>
    <mergeCell ref="I12:J12"/>
    <mergeCell ref="B14:J14"/>
    <mergeCell ref="B16:C16"/>
    <mergeCell ref="D16:E16"/>
    <mergeCell ref="F16:J16"/>
    <mergeCell ref="B18:J18"/>
    <mergeCell ref="C19:H19"/>
    <mergeCell ref="I19:J19"/>
    <mergeCell ref="B28:J28"/>
    <mergeCell ref="C20:H20"/>
    <mergeCell ref="I20:J20"/>
    <mergeCell ref="C21:H21"/>
    <mergeCell ref="I21:J21"/>
    <mergeCell ref="C22:H22"/>
    <mergeCell ref="I22:J22"/>
    <mergeCell ref="C23:H23"/>
    <mergeCell ref="I23:J23"/>
    <mergeCell ref="C24:H24"/>
    <mergeCell ref="I24:J24"/>
    <mergeCell ref="B26:J27"/>
    <mergeCell ref="C40:H40"/>
    <mergeCell ref="B29:J29"/>
    <mergeCell ref="C30:H30"/>
    <mergeCell ref="C31:H31"/>
    <mergeCell ref="C32:H32"/>
    <mergeCell ref="C33:H33"/>
    <mergeCell ref="C34:H34"/>
    <mergeCell ref="C35:H35"/>
    <mergeCell ref="C36:H36"/>
    <mergeCell ref="B37:H37"/>
    <mergeCell ref="C38:J38"/>
    <mergeCell ref="C39:H39"/>
    <mergeCell ref="C51:I51"/>
    <mergeCell ref="B52:I52"/>
    <mergeCell ref="C42:H42"/>
    <mergeCell ref="C44:H44"/>
    <mergeCell ref="C46:H46"/>
    <mergeCell ref="B48:J48"/>
    <mergeCell ref="B49:I49"/>
    <mergeCell ref="C50:I50"/>
  </mergeCells>
  <pageMargins left="0.51181102362204722" right="0.51181102362204722" top="0.78740157480314965" bottom="0.78740157480314965" header="0.31496062992125984" footer="0.31496062992125984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5CD55-0D27-41E8-AD5C-A9DD689BB84B}">
  <dimension ref="B1:R14"/>
  <sheetViews>
    <sheetView showGridLines="0" workbookViewId="0">
      <selection activeCell="N28" sqref="N28"/>
    </sheetView>
  </sheetViews>
  <sheetFormatPr defaultColWidth="8.85546875" defaultRowHeight="15" x14ac:dyDescent="0.25"/>
  <cols>
    <col min="1" max="1" width="8.85546875" style="57"/>
    <col min="2" max="2" width="12.85546875" style="57" customWidth="1"/>
    <col min="3" max="3" width="14.85546875" style="57" bestFit="1" customWidth="1"/>
    <col min="4" max="4" width="14.140625" style="57" customWidth="1"/>
    <col min="5" max="5" width="11.85546875" style="57" customWidth="1"/>
    <col min="6" max="11" width="12.85546875" style="57" hidden="1" customWidth="1"/>
    <col min="12" max="12" width="12.85546875" style="57" customWidth="1"/>
    <col min="13" max="13" width="12.85546875" style="57" bestFit="1" customWidth="1"/>
    <col min="14" max="14" width="13.85546875" style="57" bestFit="1" customWidth="1"/>
    <col min="15" max="15" width="8.85546875" style="57"/>
    <col min="16" max="16" width="11.42578125" style="57" bestFit="1" customWidth="1"/>
    <col min="17" max="16384" width="8.85546875" style="57"/>
  </cols>
  <sheetData>
    <row r="1" spans="2:18" ht="15.75" thickBot="1" x14ac:dyDescent="0.3"/>
    <row r="2" spans="2:18" ht="34.700000000000003" customHeight="1" thickTop="1" thickBot="1" x14ac:dyDescent="0.3">
      <c r="B2" s="355" t="s">
        <v>335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</row>
    <row r="3" spans="2:18" ht="37.35" customHeight="1" x14ac:dyDescent="0.25">
      <c r="B3" s="352" t="s">
        <v>336</v>
      </c>
      <c r="C3" s="352" t="s">
        <v>337</v>
      </c>
      <c r="D3" s="352" t="s">
        <v>338</v>
      </c>
      <c r="E3" s="352" t="s">
        <v>339</v>
      </c>
      <c r="F3" s="352" t="s">
        <v>340</v>
      </c>
      <c r="G3" s="352"/>
      <c r="H3" s="352" t="s">
        <v>341</v>
      </c>
      <c r="I3" s="352"/>
      <c r="J3" s="352" t="s">
        <v>342</v>
      </c>
      <c r="K3" s="352"/>
      <c r="L3" s="354" t="s">
        <v>343</v>
      </c>
      <c r="M3" s="354"/>
      <c r="N3" s="354"/>
    </row>
    <row r="4" spans="2:18" ht="30.75" thickBot="1" x14ac:dyDescent="0.3">
      <c r="B4" s="353"/>
      <c r="C4" s="353"/>
      <c r="D4" s="353"/>
      <c r="E4" s="353"/>
      <c r="F4" s="76" t="s">
        <v>344</v>
      </c>
      <c r="G4" s="76" t="s">
        <v>345</v>
      </c>
      <c r="H4" s="76" t="s">
        <v>344</v>
      </c>
      <c r="I4" s="76" t="s">
        <v>346</v>
      </c>
      <c r="J4" s="76" t="s">
        <v>344</v>
      </c>
      <c r="K4" s="76" t="s">
        <v>346</v>
      </c>
      <c r="L4" s="77" t="s">
        <v>344</v>
      </c>
      <c r="M4" s="77" t="s">
        <v>346</v>
      </c>
      <c r="N4" s="77" t="s">
        <v>347</v>
      </c>
    </row>
    <row r="5" spans="2:18" x14ac:dyDescent="0.25">
      <c r="B5" s="57" t="s">
        <v>348</v>
      </c>
      <c r="C5" s="57" t="s">
        <v>349</v>
      </c>
      <c r="D5" s="73">
        <v>9000</v>
      </c>
      <c r="E5" s="57">
        <v>2</v>
      </c>
      <c r="F5" s="74">
        <v>100</v>
      </c>
      <c r="G5" s="74">
        <f>F5*E5</f>
        <v>200</v>
      </c>
      <c r="H5" s="74">
        <v>83.3</v>
      </c>
      <c r="I5" s="74">
        <f>H5*E5</f>
        <v>166.6</v>
      </c>
      <c r="J5" s="74">
        <v>90</v>
      </c>
      <c r="K5" s="74">
        <f>J5*E5</f>
        <v>180</v>
      </c>
      <c r="L5" s="75">
        <f>AVERAGE(F5,H5,J5)</f>
        <v>91.100000000000009</v>
      </c>
      <c r="M5" s="75">
        <f>E5*L5</f>
        <v>182.20000000000002</v>
      </c>
      <c r="N5" s="75">
        <f>M5*20</f>
        <v>3644.0000000000005</v>
      </c>
      <c r="O5" s="70"/>
      <c r="Q5" s="70"/>
      <c r="R5" s="70"/>
    </row>
    <row r="6" spans="2:18" x14ac:dyDescent="0.25">
      <c r="B6" s="57" t="s">
        <v>350</v>
      </c>
      <c r="C6" s="57" t="s">
        <v>351</v>
      </c>
      <c r="D6" s="73">
        <v>12000</v>
      </c>
      <c r="E6" s="57">
        <v>1</v>
      </c>
      <c r="F6" s="74">
        <v>100</v>
      </c>
      <c r="G6" s="74">
        <f t="shared" ref="G6:G12" si="0">F6*E6</f>
        <v>100</v>
      </c>
      <c r="H6" s="74">
        <v>83.3</v>
      </c>
      <c r="I6" s="74">
        <f t="shared" ref="I6:I12" si="1">H6*E6</f>
        <v>83.3</v>
      </c>
      <c r="J6" s="74">
        <v>90</v>
      </c>
      <c r="K6" s="74">
        <f t="shared" ref="K6:K12" si="2">J6*E6</f>
        <v>90</v>
      </c>
      <c r="L6" s="75">
        <f t="shared" ref="L6:L12" si="3">AVERAGE(F6,H6,J6)</f>
        <v>91.100000000000009</v>
      </c>
      <c r="M6" s="75">
        <f t="shared" ref="M6:M12" si="4">E6*L6</f>
        <v>91.100000000000009</v>
      </c>
      <c r="N6" s="75">
        <f t="shared" ref="N6:N12" si="5">M6*20</f>
        <v>1822.0000000000002</v>
      </c>
      <c r="O6" s="70"/>
      <c r="Q6" s="70"/>
      <c r="R6" s="70"/>
    </row>
    <row r="7" spans="2:18" ht="30" x14ac:dyDescent="0.25">
      <c r="B7" s="57" t="s">
        <v>352</v>
      </c>
      <c r="C7" s="57" t="s">
        <v>353</v>
      </c>
      <c r="D7" s="73">
        <v>12000</v>
      </c>
      <c r="E7" s="57">
        <v>3</v>
      </c>
      <c r="F7" s="74">
        <v>100</v>
      </c>
      <c r="G7" s="74">
        <f t="shared" si="0"/>
        <v>300</v>
      </c>
      <c r="H7" s="74">
        <v>83.3</v>
      </c>
      <c r="I7" s="74">
        <f t="shared" si="1"/>
        <v>249.89999999999998</v>
      </c>
      <c r="J7" s="74">
        <v>90</v>
      </c>
      <c r="K7" s="74">
        <f t="shared" si="2"/>
        <v>270</v>
      </c>
      <c r="L7" s="75">
        <f t="shared" si="3"/>
        <v>91.100000000000009</v>
      </c>
      <c r="M7" s="75">
        <f t="shared" si="4"/>
        <v>273.3</v>
      </c>
      <c r="N7" s="75">
        <f t="shared" si="5"/>
        <v>5466</v>
      </c>
      <c r="O7" s="70"/>
      <c r="Q7" s="70"/>
      <c r="R7" s="70"/>
    </row>
    <row r="8" spans="2:18" x14ac:dyDescent="0.25">
      <c r="B8" s="57" t="s">
        <v>348</v>
      </c>
      <c r="C8" s="57" t="s">
        <v>354</v>
      </c>
      <c r="D8" s="73">
        <v>18000</v>
      </c>
      <c r="E8" s="57">
        <v>4</v>
      </c>
      <c r="F8" s="74">
        <v>150</v>
      </c>
      <c r="G8" s="74">
        <f t="shared" si="0"/>
        <v>600</v>
      </c>
      <c r="H8" s="74">
        <v>83.3</v>
      </c>
      <c r="I8" s="74">
        <f t="shared" si="1"/>
        <v>333.2</v>
      </c>
      <c r="J8" s="74">
        <v>90</v>
      </c>
      <c r="K8" s="74">
        <f t="shared" si="2"/>
        <v>360</v>
      </c>
      <c r="L8" s="75">
        <f t="shared" si="3"/>
        <v>107.76666666666667</v>
      </c>
      <c r="M8" s="75">
        <f t="shared" si="4"/>
        <v>431.06666666666666</v>
      </c>
      <c r="N8" s="75">
        <f t="shared" si="5"/>
        <v>8621.3333333333339</v>
      </c>
      <c r="O8" s="70"/>
      <c r="Q8" s="70"/>
      <c r="R8" s="70"/>
    </row>
    <row r="9" spans="2:18" x14ac:dyDescent="0.25">
      <c r="B9" s="57" t="s">
        <v>355</v>
      </c>
      <c r="C9" s="57" t="s">
        <v>356</v>
      </c>
      <c r="D9" s="73">
        <v>22000</v>
      </c>
      <c r="E9" s="57">
        <v>9</v>
      </c>
      <c r="F9" s="74">
        <v>150</v>
      </c>
      <c r="G9" s="74">
        <f t="shared" si="0"/>
        <v>1350</v>
      </c>
      <c r="H9" s="74">
        <v>83.3</v>
      </c>
      <c r="I9" s="74">
        <f t="shared" si="1"/>
        <v>749.69999999999993</v>
      </c>
      <c r="J9" s="74">
        <v>90</v>
      </c>
      <c r="K9" s="74">
        <f t="shared" si="2"/>
        <v>810</v>
      </c>
      <c r="L9" s="75">
        <f t="shared" si="3"/>
        <v>107.76666666666667</v>
      </c>
      <c r="M9" s="75">
        <f t="shared" si="4"/>
        <v>969.9</v>
      </c>
      <c r="N9" s="75">
        <f t="shared" si="5"/>
        <v>19398</v>
      </c>
      <c r="O9" s="70"/>
      <c r="Q9" s="70"/>
      <c r="R9" s="70"/>
    </row>
    <row r="10" spans="2:18" x14ac:dyDescent="0.25">
      <c r="B10" s="57" t="s">
        <v>350</v>
      </c>
      <c r="C10" s="57" t="s">
        <v>357</v>
      </c>
      <c r="D10" s="73">
        <v>27000</v>
      </c>
      <c r="E10" s="57">
        <v>9</v>
      </c>
      <c r="F10" s="74">
        <v>150</v>
      </c>
      <c r="G10" s="74">
        <f t="shared" si="0"/>
        <v>1350</v>
      </c>
      <c r="H10" s="74">
        <v>83.3</v>
      </c>
      <c r="I10" s="74">
        <f t="shared" si="1"/>
        <v>749.69999999999993</v>
      </c>
      <c r="J10" s="74">
        <v>90</v>
      </c>
      <c r="K10" s="74">
        <f t="shared" si="2"/>
        <v>810</v>
      </c>
      <c r="L10" s="75">
        <f t="shared" si="3"/>
        <v>107.76666666666667</v>
      </c>
      <c r="M10" s="75">
        <f t="shared" si="4"/>
        <v>969.9</v>
      </c>
      <c r="N10" s="75">
        <f t="shared" si="5"/>
        <v>19398</v>
      </c>
      <c r="O10" s="70"/>
      <c r="Q10" s="70"/>
      <c r="R10" s="70"/>
    </row>
    <row r="11" spans="2:18" x14ac:dyDescent="0.25">
      <c r="B11" s="57" t="s">
        <v>350</v>
      </c>
      <c r="C11" s="57" t="s">
        <v>358</v>
      </c>
      <c r="D11" s="73">
        <v>45000</v>
      </c>
      <c r="E11" s="57">
        <v>3</v>
      </c>
      <c r="F11" s="74">
        <v>200</v>
      </c>
      <c r="G11" s="74">
        <f t="shared" si="0"/>
        <v>600</v>
      </c>
      <c r="H11" s="74">
        <v>114.49</v>
      </c>
      <c r="I11" s="74">
        <f t="shared" si="1"/>
        <v>343.46999999999997</v>
      </c>
      <c r="J11" s="74">
        <v>90</v>
      </c>
      <c r="K11" s="74">
        <f t="shared" si="2"/>
        <v>270</v>
      </c>
      <c r="L11" s="75">
        <f t="shared" si="3"/>
        <v>134.83000000000001</v>
      </c>
      <c r="M11" s="75">
        <f t="shared" si="4"/>
        <v>404.49</v>
      </c>
      <c r="N11" s="75">
        <f t="shared" si="5"/>
        <v>8089.8</v>
      </c>
      <c r="O11" s="70"/>
      <c r="Q11" s="70"/>
      <c r="R11" s="70"/>
    </row>
    <row r="12" spans="2:18" ht="15.75" thickBot="1" x14ac:dyDescent="0.3">
      <c r="B12" s="57" t="s">
        <v>359</v>
      </c>
      <c r="C12" s="57" t="s">
        <v>360</v>
      </c>
      <c r="D12" s="73">
        <v>52000</v>
      </c>
      <c r="E12" s="57">
        <v>21</v>
      </c>
      <c r="F12" s="74">
        <v>250</v>
      </c>
      <c r="G12" s="74">
        <f t="shared" si="0"/>
        <v>5250</v>
      </c>
      <c r="H12" s="74">
        <v>114.49</v>
      </c>
      <c r="I12" s="74">
        <f t="shared" si="1"/>
        <v>2404.29</v>
      </c>
      <c r="J12" s="74">
        <v>90</v>
      </c>
      <c r="K12" s="74">
        <f t="shared" si="2"/>
        <v>1890</v>
      </c>
      <c r="L12" s="75">
        <f t="shared" si="3"/>
        <v>151.49666666666667</v>
      </c>
      <c r="M12" s="75">
        <f t="shared" si="4"/>
        <v>3181.4300000000003</v>
      </c>
      <c r="N12" s="75">
        <f t="shared" si="5"/>
        <v>63628.600000000006</v>
      </c>
      <c r="O12" s="70"/>
      <c r="Q12" s="70"/>
      <c r="R12" s="70"/>
    </row>
    <row r="13" spans="2:18" ht="15.75" thickBot="1" x14ac:dyDescent="0.3">
      <c r="B13" s="351" t="s">
        <v>361</v>
      </c>
      <c r="C13" s="351"/>
      <c r="D13" s="351"/>
      <c r="E13" s="81">
        <f>SUM(E5:E12)</f>
        <v>52</v>
      </c>
      <c r="F13" s="82"/>
      <c r="G13" s="82">
        <f t="shared" ref="G13" si="6">SUM(G5:G12)</f>
        <v>9750</v>
      </c>
      <c r="H13" s="82"/>
      <c r="I13" s="82">
        <f>SUM(I5:I12)</f>
        <v>5080.16</v>
      </c>
      <c r="J13" s="82"/>
      <c r="K13" s="82">
        <f t="shared" ref="K13" si="7">SUM(K5:K12)</f>
        <v>4680</v>
      </c>
      <c r="L13" s="83"/>
      <c r="M13" s="83">
        <f>SUM(M5:M12)</f>
        <v>6503.3866666666672</v>
      </c>
      <c r="N13" s="83">
        <f>SUM(N5:N12)</f>
        <v>130067.73333333334</v>
      </c>
    </row>
    <row r="14" spans="2:18" ht="15.75" thickTop="1" x14ac:dyDescent="0.25"/>
  </sheetData>
  <mergeCells count="10">
    <mergeCell ref="J3:K3"/>
    <mergeCell ref="L3:N3"/>
    <mergeCell ref="B2:N2"/>
    <mergeCell ref="H3:I3"/>
    <mergeCell ref="F3:G3"/>
    <mergeCell ref="B13:D13"/>
    <mergeCell ref="B3:B4"/>
    <mergeCell ref="C3:C4"/>
    <mergeCell ref="D3:D4"/>
    <mergeCell ref="E3:E4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D75D6-2D67-4E53-AFD7-A6322E2580BF}">
  <sheetPr>
    <pageSetUpPr fitToPage="1"/>
  </sheetPr>
  <dimension ref="A1:E80"/>
  <sheetViews>
    <sheetView showGridLines="0" workbookViewId="0">
      <selection sqref="A1:E1"/>
    </sheetView>
  </sheetViews>
  <sheetFormatPr defaultRowHeight="15" x14ac:dyDescent="0.25"/>
  <cols>
    <col min="2" max="2" width="67.42578125" customWidth="1"/>
    <col min="4" max="4" width="14.140625" customWidth="1"/>
    <col min="5" max="5" width="12.5703125" customWidth="1"/>
  </cols>
  <sheetData>
    <row r="1" spans="1:5" ht="33" customHeight="1" x14ac:dyDescent="0.25">
      <c r="A1" s="362" t="s">
        <v>978</v>
      </c>
      <c r="B1" s="363"/>
      <c r="C1" s="363"/>
      <c r="D1" s="363"/>
      <c r="E1" s="363"/>
    </row>
    <row r="2" spans="1:5" ht="21" x14ac:dyDescent="0.25">
      <c r="A2" s="128"/>
      <c r="B2" s="128"/>
      <c r="C2" s="128"/>
      <c r="D2" s="128"/>
      <c r="E2" s="128"/>
    </row>
    <row r="3" spans="1:5" x14ac:dyDescent="0.25">
      <c r="A3" s="215" t="s">
        <v>362</v>
      </c>
      <c r="B3" s="216" t="s">
        <v>131</v>
      </c>
      <c r="C3" s="217" t="s">
        <v>363</v>
      </c>
      <c r="D3" s="215" t="s">
        <v>364</v>
      </c>
      <c r="E3" s="215" t="s">
        <v>365</v>
      </c>
    </row>
    <row r="4" spans="1:5" x14ac:dyDescent="0.25">
      <c r="A4" s="139">
        <v>1</v>
      </c>
      <c r="B4" s="140" t="s">
        <v>366</v>
      </c>
      <c r="C4" s="146">
        <v>1</v>
      </c>
      <c r="D4" s="218">
        <v>31.1</v>
      </c>
      <c r="E4" s="219">
        <f t="shared" ref="E4:E67" si="0">D4*C4</f>
        <v>31.1</v>
      </c>
    </row>
    <row r="5" spans="1:5" x14ac:dyDescent="0.25">
      <c r="A5" s="162">
        <v>2</v>
      </c>
      <c r="B5" s="177" t="s">
        <v>367</v>
      </c>
      <c r="C5" s="146">
        <v>1</v>
      </c>
      <c r="D5" s="218">
        <v>81.569999999999993</v>
      </c>
      <c r="E5" s="219">
        <f t="shared" si="0"/>
        <v>81.569999999999993</v>
      </c>
    </row>
    <row r="6" spans="1:5" x14ac:dyDescent="0.25">
      <c r="A6" s="139">
        <v>3</v>
      </c>
      <c r="B6" s="177" t="s">
        <v>368</v>
      </c>
      <c r="C6" s="146">
        <v>1</v>
      </c>
      <c r="D6" s="218">
        <v>36.9</v>
      </c>
      <c r="E6" s="219">
        <f t="shared" si="0"/>
        <v>36.9</v>
      </c>
    </row>
    <row r="7" spans="1:5" x14ac:dyDescent="0.25">
      <c r="A7" s="162">
        <v>4</v>
      </c>
      <c r="B7" s="177" t="s">
        <v>369</v>
      </c>
      <c r="C7" s="146">
        <v>1</v>
      </c>
      <c r="D7" s="218">
        <v>31.59</v>
      </c>
      <c r="E7" s="219">
        <f t="shared" si="0"/>
        <v>31.59</v>
      </c>
    </row>
    <row r="8" spans="1:5" x14ac:dyDescent="0.25">
      <c r="A8" s="139">
        <v>5</v>
      </c>
      <c r="B8" s="177" t="s">
        <v>370</v>
      </c>
      <c r="C8" s="146">
        <v>1</v>
      </c>
      <c r="D8" s="218">
        <v>48.6</v>
      </c>
      <c r="E8" s="219">
        <f t="shared" si="0"/>
        <v>48.6</v>
      </c>
    </row>
    <row r="9" spans="1:5" x14ac:dyDescent="0.25">
      <c r="A9" s="162">
        <v>6</v>
      </c>
      <c r="B9" s="177" t="s">
        <v>371</v>
      </c>
      <c r="C9" s="146">
        <v>1</v>
      </c>
      <c r="D9" s="218">
        <v>129.63</v>
      </c>
      <c r="E9" s="219">
        <f t="shared" si="0"/>
        <v>129.63</v>
      </c>
    </row>
    <row r="10" spans="1:5" x14ac:dyDescent="0.25">
      <c r="A10" s="139">
        <v>7</v>
      </c>
      <c r="B10" s="178" t="s">
        <v>372</v>
      </c>
      <c r="C10" s="146">
        <v>1</v>
      </c>
      <c r="D10" s="218">
        <v>52.52</v>
      </c>
      <c r="E10" s="219">
        <f t="shared" si="0"/>
        <v>52.52</v>
      </c>
    </row>
    <row r="11" spans="1:5" x14ac:dyDescent="0.25">
      <c r="A11" s="162">
        <v>8</v>
      </c>
      <c r="B11" s="177" t="s">
        <v>373</v>
      </c>
      <c r="C11" s="146">
        <v>1</v>
      </c>
      <c r="D11" s="218">
        <v>26.49</v>
      </c>
      <c r="E11" s="219">
        <f t="shared" si="0"/>
        <v>26.49</v>
      </c>
    </row>
    <row r="12" spans="1:5" x14ac:dyDescent="0.25">
      <c r="A12" s="139">
        <v>9</v>
      </c>
      <c r="B12" s="177" t="s">
        <v>374</v>
      </c>
      <c r="C12" s="146">
        <v>1</v>
      </c>
      <c r="D12" s="218">
        <v>298.89999999999998</v>
      </c>
      <c r="E12" s="219">
        <f t="shared" si="0"/>
        <v>298.89999999999998</v>
      </c>
    </row>
    <row r="13" spans="1:5" x14ac:dyDescent="0.25">
      <c r="A13" s="162">
        <v>10</v>
      </c>
      <c r="B13" s="177" t="s">
        <v>375</v>
      </c>
      <c r="C13" s="146">
        <v>1</v>
      </c>
      <c r="D13" s="218">
        <v>32.57</v>
      </c>
      <c r="E13" s="219">
        <f t="shared" si="0"/>
        <v>32.57</v>
      </c>
    </row>
    <row r="14" spans="1:5" x14ac:dyDescent="0.25">
      <c r="A14" s="139">
        <v>11</v>
      </c>
      <c r="B14" s="177" t="s">
        <v>376</v>
      </c>
      <c r="C14" s="146">
        <v>1</v>
      </c>
      <c r="D14" s="218">
        <v>27.9</v>
      </c>
      <c r="E14" s="219">
        <f t="shared" si="0"/>
        <v>27.9</v>
      </c>
    </row>
    <row r="15" spans="1:5" x14ac:dyDescent="0.25">
      <c r="A15" s="162">
        <v>12</v>
      </c>
      <c r="B15" s="178" t="s">
        <v>377</v>
      </c>
      <c r="C15" s="146">
        <v>1</v>
      </c>
      <c r="D15" s="218">
        <v>151.27000000000001</v>
      </c>
      <c r="E15" s="219">
        <f t="shared" si="0"/>
        <v>151.27000000000001</v>
      </c>
    </row>
    <row r="16" spans="1:5" x14ac:dyDescent="0.25">
      <c r="A16" s="139">
        <v>13</v>
      </c>
      <c r="B16" s="177" t="s">
        <v>378</v>
      </c>
      <c r="C16" s="146">
        <v>1</v>
      </c>
      <c r="D16" s="218">
        <v>52.51</v>
      </c>
      <c r="E16" s="219">
        <f t="shared" si="0"/>
        <v>52.51</v>
      </c>
    </row>
    <row r="17" spans="1:5" x14ac:dyDescent="0.25">
      <c r="A17" s="162">
        <v>14</v>
      </c>
      <c r="B17" s="178" t="s">
        <v>379</v>
      </c>
      <c r="C17" s="146">
        <v>1</v>
      </c>
      <c r="D17" s="218">
        <v>105.52</v>
      </c>
      <c r="E17" s="219">
        <f t="shared" si="0"/>
        <v>105.52</v>
      </c>
    </row>
    <row r="18" spans="1:5" x14ac:dyDescent="0.25">
      <c r="A18" s="139">
        <v>15</v>
      </c>
      <c r="B18" s="177" t="s">
        <v>380</v>
      </c>
      <c r="C18" s="146">
        <v>1</v>
      </c>
      <c r="D18" s="218">
        <v>26.28</v>
      </c>
      <c r="E18" s="219">
        <f t="shared" si="0"/>
        <v>26.28</v>
      </c>
    </row>
    <row r="19" spans="1:5" x14ac:dyDescent="0.25">
      <c r="A19" s="162">
        <v>16</v>
      </c>
      <c r="B19" s="177" t="s">
        <v>381</v>
      </c>
      <c r="C19" s="146">
        <v>1</v>
      </c>
      <c r="D19" s="218">
        <v>87.04</v>
      </c>
      <c r="E19" s="219">
        <f t="shared" si="0"/>
        <v>87.04</v>
      </c>
    </row>
    <row r="20" spans="1:5" x14ac:dyDescent="0.25">
      <c r="A20" s="139">
        <v>17</v>
      </c>
      <c r="B20" s="177" t="s">
        <v>382</v>
      </c>
      <c r="C20" s="146">
        <v>1</v>
      </c>
      <c r="D20" s="218">
        <v>44.9</v>
      </c>
      <c r="E20" s="219">
        <f t="shared" si="0"/>
        <v>44.9</v>
      </c>
    </row>
    <row r="21" spans="1:5" x14ac:dyDescent="0.25">
      <c r="A21" s="162">
        <v>18</v>
      </c>
      <c r="B21" s="177" t="s">
        <v>383</v>
      </c>
      <c r="C21" s="146">
        <v>1</v>
      </c>
      <c r="D21" s="218">
        <v>24.58</v>
      </c>
      <c r="E21" s="219">
        <f t="shared" si="0"/>
        <v>24.58</v>
      </c>
    </row>
    <row r="22" spans="1:5" x14ac:dyDescent="0.25">
      <c r="A22" s="139">
        <v>19</v>
      </c>
      <c r="B22" s="177" t="s">
        <v>384</v>
      </c>
      <c r="C22" s="146">
        <v>1</v>
      </c>
      <c r="D22" s="218">
        <v>45.44</v>
      </c>
      <c r="E22" s="219">
        <f t="shared" si="0"/>
        <v>45.44</v>
      </c>
    </row>
    <row r="23" spans="1:5" x14ac:dyDescent="0.25">
      <c r="A23" s="162">
        <v>20</v>
      </c>
      <c r="B23" s="177" t="s">
        <v>385</v>
      </c>
      <c r="C23" s="146">
        <v>1</v>
      </c>
      <c r="D23" s="218">
        <v>27.23</v>
      </c>
      <c r="E23" s="219">
        <f t="shared" si="0"/>
        <v>27.23</v>
      </c>
    </row>
    <row r="24" spans="1:5" x14ac:dyDescent="0.25">
      <c r="A24" s="139">
        <v>21</v>
      </c>
      <c r="B24" s="177" t="s">
        <v>386</v>
      </c>
      <c r="C24" s="146">
        <v>1</v>
      </c>
      <c r="D24" s="218">
        <v>38.229999999999997</v>
      </c>
      <c r="E24" s="219">
        <f t="shared" si="0"/>
        <v>38.229999999999997</v>
      </c>
    </row>
    <row r="25" spans="1:5" x14ac:dyDescent="0.25">
      <c r="A25" s="162">
        <v>22</v>
      </c>
      <c r="B25" s="177" t="s">
        <v>387</v>
      </c>
      <c r="C25" s="146">
        <v>1</v>
      </c>
      <c r="D25" s="218">
        <v>67.900000000000006</v>
      </c>
      <c r="E25" s="219">
        <f t="shared" si="0"/>
        <v>67.900000000000006</v>
      </c>
    </row>
    <row r="26" spans="1:5" x14ac:dyDescent="0.25">
      <c r="A26" s="139">
        <v>23</v>
      </c>
      <c r="B26" s="177" t="s">
        <v>388</v>
      </c>
      <c r="C26" s="146">
        <v>1</v>
      </c>
      <c r="D26" s="218">
        <v>19</v>
      </c>
      <c r="E26" s="219">
        <f t="shared" si="0"/>
        <v>19</v>
      </c>
    </row>
    <row r="27" spans="1:5" x14ac:dyDescent="0.25">
      <c r="A27" s="162">
        <v>24</v>
      </c>
      <c r="B27" s="177" t="s">
        <v>389</v>
      </c>
      <c r="C27" s="146">
        <v>1</v>
      </c>
      <c r="D27" s="218">
        <v>37.299999999999997</v>
      </c>
      <c r="E27" s="219">
        <f t="shared" si="0"/>
        <v>37.299999999999997</v>
      </c>
    </row>
    <row r="28" spans="1:5" x14ac:dyDescent="0.25">
      <c r="A28" s="139">
        <v>25</v>
      </c>
      <c r="B28" s="177" t="s">
        <v>390</v>
      </c>
      <c r="C28" s="179">
        <v>1</v>
      </c>
      <c r="D28" s="218">
        <v>61.51</v>
      </c>
      <c r="E28" s="219">
        <f t="shared" si="0"/>
        <v>61.51</v>
      </c>
    </row>
    <row r="29" spans="1:5" x14ac:dyDescent="0.25">
      <c r="A29" s="162">
        <v>26</v>
      </c>
      <c r="B29" s="177" t="s">
        <v>391</v>
      </c>
      <c r="C29" s="146">
        <v>1</v>
      </c>
      <c r="D29" s="218">
        <v>31.9</v>
      </c>
      <c r="E29" s="219">
        <f t="shared" si="0"/>
        <v>31.9</v>
      </c>
    </row>
    <row r="30" spans="1:5" x14ac:dyDescent="0.25">
      <c r="A30" s="139">
        <v>27</v>
      </c>
      <c r="B30" s="177" t="s">
        <v>392</v>
      </c>
      <c r="C30" s="146">
        <v>1</v>
      </c>
      <c r="D30" s="218">
        <v>218.5</v>
      </c>
      <c r="E30" s="219">
        <f t="shared" si="0"/>
        <v>218.5</v>
      </c>
    </row>
    <row r="31" spans="1:5" x14ac:dyDescent="0.25">
      <c r="A31" s="162">
        <v>28</v>
      </c>
      <c r="B31" s="177" t="s">
        <v>393</v>
      </c>
      <c r="C31" s="146">
        <v>1</v>
      </c>
      <c r="D31" s="218">
        <v>5.05</v>
      </c>
      <c r="E31" s="219">
        <f t="shared" si="0"/>
        <v>5.05</v>
      </c>
    </row>
    <row r="32" spans="1:5" x14ac:dyDescent="0.25">
      <c r="A32" s="139">
        <v>29</v>
      </c>
      <c r="B32" s="177" t="s">
        <v>394</v>
      </c>
      <c r="C32" s="146">
        <v>1</v>
      </c>
      <c r="D32" s="218">
        <v>16.34</v>
      </c>
      <c r="E32" s="219">
        <f t="shared" si="0"/>
        <v>16.34</v>
      </c>
    </row>
    <row r="33" spans="1:5" x14ac:dyDescent="0.25">
      <c r="A33" s="162">
        <v>30</v>
      </c>
      <c r="B33" s="177" t="s">
        <v>395</v>
      </c>
      <c r="C33" s="146">
        <v>1</v>
      </c>
      <c r="D33" s="218">
        <v>30.1</v>
      </c>
      <c r="E33" s="219">
        <f t="shared" si="0"/>
        <v>30.1</v>
      </c>
    </row>
    <row r="34" spans="1:5" x14ac:dyDescent="0.25">
      <c r="A34" s="139">
        <v>31</v>
      </c>
      <c r="B34" s="177" t="s">
        <v>396</v>
      </c>
      <c r="C34" s="146">
        <v>1</v>
      </c>
      <c r="D34" s="218">
        <v>294.35000000000002</v>
      </c>
      <c r="E34" s="219">
        <f t="shared" si="0"/>
        <v>294.35000000000002</v>
      </c>
    </row>
    <row r="35" spans="1:5" x14ac:dyDescent="0.25">
      <c r="A35" s="162">
        <v>32</v>
      </c>
      <c r="B35" s="177" t="s">
        <v>397</v>
      </c>
      <c r="C35" s="146">
        <v>1</v>
      </c>
      <c r="D35" s="218">
        <v>100.5</v>
      </c>
      <c r="E35" s="219">
        <f t="shared" si="0"/>
        <v>100.5</v>
      </c>
    </row>
    <row r="36" spans="1:5" x14ac:dyDescent="0.25">
      <c r="A36" s="139">
        <v>33</v>
      </c>
      <c r="B36" s="177" t="s">
        <v>398</v>
      </c>
      <c r="C36" s="146">
        <v>1</v>
      </c>
      <c r="D36" s="218">
        <v>237.47</v>
      </c>
      <c r="E36" s="220">
        <f t="shared" si="0"/>
        <v>237.47</v>
      </c>
    </row>
    <row r="37" spans="1:5" x14ac:dyDescent="0.25">
      <c r="A37" s="162">
        <v>34</v>
      </c>
      <c r="B37" s="177" t="s">
        <v>399</v>
      </c>
      <c r="C37" s="146">
        <v>1</v>
      </c>
      <c r="D37" s="218">
        <v>70.95</v>
      </c>
      <c r="E37" s="219">
        <f t="shared" si="0"/>
        <v>70.95</v>
      </c>
    </row>
    <row r="38" spans="1:5" x14ac:dyDescent="0.25">
      <c r="A38" s="139">
        <v>35</v>
      </c>
      <c r="B38" s="177" t="s">
        <v>400</v>
      </c>
      <c r="C38" s="146">
        <v>1</v>
      </c>
      <c r="D38" s="218">
        <v>41.91</v>
      </c>
      <c r="E38" s="219">
        <f t="shared" si="0"/>
        <v>41.91</v>
      </c>
    </row>
    <row r="39" spans="1:5" x14ac:dyDescent="0.25">
      <c r="A39" s="162">
        <v>36</v>
      </c>
      <c r="B39" s="177" t="s">
        <v>401</v>
      </c>
      <c r="C39" s="146">
        <v>1</v>
      </c>
      <c r="D39" s="218">
        <v>241.9</v>
      </c>
      <c r="E39" s="219">
        <f t="shared" si="0"/>
        <v>241.9</v>
      </c>
    </row>
    <row r="40" spans="1:5" x14ac:dyDescent="0.25">
      <c r="A40" s="139">
        <v>37</v>
      </c>
      <c r="B40" s="177" t="s">
        <v>402</v>
      </c>
      <c r="C40" s="146">
        <v>1</v>
      </c>
      <c r="D40" s="218">
        <v>605.15</v>
      </c>
      <c r="E40" s="219">
        <f t="shared" si="0"/>
        <v>605.15</v>
      </c>
    </row>
    <row r="41" spans="1:5" x14ac:dyDescent="0.25">
      <c r="A41" s="139">
        <v>38</v>
      </c>
      <c r="B41" s="178" t="s">
        <v>403</v>
      </c>
      <c r="C41" s="146">
        <v>1</v>
      </c>
      <c r="D41" s="218">
        <v>260.42</v>
      </c>
      <c r="E41" s="219">
        <f t="shared" si="0"/>
        <v>260.42</v>
      </c>
    </row>
    <row r="42" spans="1:5" x14ac:dyDescent="0.25">
      <c r="A42" s="162">
        <v>39</v>
      </c>
      <c r="B42" s="275" t="s">
        <v>404</v>
      </c>
      <c r="C42" s="146">
        <v>1</v>
      </c>
      <c r="D42" s="218">
        <v>66.8</v>
      </c>
      <c r="E42" s="219">
        <f t="shared" si="0"/>
        <v>66.8</v>
      </c>
    </row>
    <row r="43" spans="1:5" x14ac:dyDescent="0.25">
      <c r="A43" s="162">
        <v>40</v>
      </c>
      <c r="B43" s="178" t="s">
        <v>405</v>
      </c>
      <c r="C43" s="146">
        <v>1</v>
      </c>
      <c r="D43" s="218">
        <v>32.630000000000003</v>
      </c>
      <c r="E43" s="219">
        <f t="shared" si="0"/>
        <v>32.630000000000003</v>
      </c>
    </row>
    <row r="44" spans="1:5" x14ac:dyDescent="0.25">
      <c r="A44" s="139">
        <v>41</v>
      </c>
      <c r="B44" s="177" t="s">
        <v>406</v>
      </c>
      <c r="C44" s="146">
        <v>1</v>
      </c>
      <c r="D44" s="218">
        <v>76.33</v>
      </c>
      <c r="E44" s="219">
        <f t="shared" si="0"/>
        <v>76.33</v>
      </c>
    </row>
    <row r="45" spans="1:5" x14ac:dyDescent="0.25">
      <c r="A45" s="162">
        <v>42</v>
      </c>
      <c r="B45" s="177" t="s">
        <v>407</v>
      </c>
      <c r="C45" s="146">
        <v>1</v>
      </c>
      <c r="D45" s="218">
        <v>30.39</v>
      </c>
      <c r="E45" s="219">
        <f t="shared" si="0"/>
        <v>30.39</v>
      </c>
    </row>
    <row r="46" spans="1:5" x14ac:dyDescent="0.25">
      <c r="A46" s="139">
        <v>43</v>
      </c>
      <c r="B46" s="177" t="s">
        <v>408</v>
      </c>
      <c r="C46" s="146">
        <v>1</v>
      </c>
      <c r="D46" s="218">
        <v>31.94</v>
      </c>
      <c r="E46" s="219">
        <f t="shared" si="0"/>
        <v>31.94</v>
      </c>
    </row>
    <row r="47" spans="1:5" x14ac:dyDescent="0.25">
      <c r="A47" s="162">
        <v>44</v>
      </c>
      <c r="B47" s="177" t="s">
        <v>409</v>
      </c>
      <c r="C47" s="146">
        <v>1</v>
      </c>
      <c r="D47" s="218">
        <v>37.700000000000003</v>
      </c>
      <c r="E47" s="219">
        <f t="shared" si="0"/>
        <v>37.700000000000003</v>
      </c>
    </row>
    <row r="48" spans="1:5" x14ac:dyDescent="0.25">
      <c r="A48" s="139">
        <v>45</v>
      </c>
      <c r="B48" s="177" t="s">
        <v>410</v>
      </c>
      <c r="C48" s="146">
        <v>1</v>
      </c>
      <c r="D48" s="218">
        <v>115</v>
      </c>
      <c r="E48" s="219">
        <f t="shared" si="0"/>
        <v>115</v>
      </c>
    </row>
    <row r="49" spans="1:5" x14ac:dyDescent="0.25">
      <c r="A49" s="162">
        <v>46</v>
      </c>
      <c r="B49" s="177" t="s">
        <v>411</v>
      </c>
      <c r="C49" s="146">
        <v>1</v>
      </c>
      <c r="D49" s="218">
        <v>255.55</v>
      </c>
      <c r="E49" s="219">
        <f t="shared" si="0"/>
        <v>255.55</v>
      </c>
    </row>
    <row r="50" spans="1:5" x14ac:dyDescent="0.25">
      <c r="A50" s="139">
        <v>47</v>
      </c>
      <c r="B50" s="177" t="s">
        <v>412</v>
      </c>
      <c r="C50" s="146">
        <v>1</v>
      </c>
      <c r="D50" s="218">
        <v>43.05</v>
      </c>
      <c r="E50" s="219">
        <f t="shared" si="0"/>
        <v>43.05</v>
      </c>
    </row>
    <row r="51" spans="1:5" x14ac:dyDescent="0.25">
      <c r="A51" s="162">
        <v>48</v>
      </c>
      <c r="B51" s="177" t="s">
        <v>413</v>
      </c>
      <c r="C51" s="146">
        <v>1</v>
      </c>
      <c r="D51" s="218">
        <v>39.17</v>
      </c>
      <c r="E51" s="219">
        <f t="shared" si="0"/>
        <v>39.17</v>
      </c>
    </row>
    <row r="52" spans="1:5" x14ac:dyDescent="0.25">
      <c r="A52" s="139">
        <v>49</v>
      </c>
      <c r="B52" s="177" t="s">
        <v>414</v>
      </c>
      <c r="C52" s="146">
        <v>1</v>
      </c>
      <c r="D52" s="218">
        <v>406.96</v>
      </c>
      <c r="E52" s="219">
        <f t="shared" si="0"/>
        <v>406.96</v>
      </c>
    </row>
    <row r="53" spans="1:5" x14ac:dyDescent="0.25">
      <c r="A53" s="162">
        <v>50</v>
      </c>
      <c r="B53" s="177" t="s">
        <v>415</v>
      </c>
      <c r="C53" s="146">
        <v>1</v>
      </c>
      <c r="D53" s="218">
        <v>22.54</v>
      </c>
      <c r="E53" s="219">
        <f t="shared" si="0"/>
        <v>22.54</v>
      </c>
    </row>
    <row r="54" spans="1:5" x14ac:dyDescent="0.25">
      <c r="A54" s="139">
        <v>51</v>
      </c>
      <c r="B54" s="177" t="s">
        <v>416</v>
      </c>
      <c r="C54" s="146">
        <v>1</v>
      </c>
      <c r="D54" s="218">
        <v>41.14</v>
      </c>
      <c r="E54" s="219">
        <f t="shared" si="0"/>
        <v>41.14</v>
      </c>
    </row>
    <row r="55" spans="1:5" x14ac:dyDescent="0.25">
      <c r="A55" s="162">
        <v>52</v>
      </c>
      <c r="B55" s="177" t="s">
        <v>417</v>
      </c>
      <c r="C55" s="146">
        <v>1</v>
      </c>
      <c r="D55" s="218">
        <v>20.3</v>
      </c>
      <c r="E55" s="219">
        <f t="shared" si="0"/>
        <v>20.3</v>
      </c>
    </row>
    <row r="56" spans="1:5" x14ac:dyDescent="0.25">
      <c r="A56" s="139">
        <v>53</v>
      </c>
      <c r="B56" s="177" t="s">
        <v>418</v>
      </c>
      <c r="C56" s="146">
        <v>1</v>
      </c>
      <c r="D56" s="218">
        <v>39.450000000000003</v>
      </c>
      <c r="E56" s="219">
        <f t="shared" si="0"/>
        <v>39.450000000000003</v>
      </c>
    </row>
    <row r="57" spans="1:5" x14ac:dyDescent="0.25">
      <c r="A57" s="162">
        <v>54</v>
      </c>
      <c r="B57" s="177" t="s">
        <v>419</v>
      </c>
      <c r="C57" s="146">
        <v>1</v>
      </c>
      <c r="D57" s="218">
        <v>22.9</v>
      </c>
      <c r="E57" s="219">
        <f t="shared" si="0"/>
        <v>22.9</v>
      </c>
    </row>
    <row r="58" spans="1:5" x14ac:dyDescent="0.25">
      <c r="A58" s="139">
        <v>55</v>
      </c>
      <c r="B58" s="177" t="s">
        <v>420</v>
      </c>
      <c r="C58" s="146">
        <v>1</v>
      </c>
      <c r="D58" s="218">
        <v>35.31</v>
      </c>
      <c r="E58" s="219">
        <f t="shared" si="0"/>
        <v>35.31</v>
      </c>
    </row>
    <row r="59" spans="1:5" x14ac:dyDescent="0.25">
      <c r="A59" s="162">
        <v>56</v>
      </c>
      <c r="B59" s="177" t="s">
        <v>421</v>
      </c>
      <c r="C59" s="146">
        <v>1</v>
      </c>
      <c r="D59" s="218">
        <v>614.29</v>
      </c>
      <c r="E59" s="219">
        <f t="shared" si="0"/>
        <v>614.29</v>
      </c>
    </row>
    <row r="60" spans="1:5" x14ac:dyDescent="0.25">
      <c r="A60" s="139">
        <v>57</v>
      </c>
      <c r="B60" s="177" t="s">
        <v>422</v>
      </c>
      <c r="C60" s="146">
        <v>1</v>
      </c>
      <c r="D60" s="218">
        <v>18.29</v>
      </c>
      <c r="E60" s="219">
        <f t="shared" si="0"/>
        <v>18.29</v>
      </c>
    </row>
    <row r="61" spans="1:5" x14ac:dyDescent="0.25">
      <c r="A61" s="162">
        <v>58</v>
      </c>
      <c r="B61" s="177" t="s">
        <v>423</v>
      </c>
      <c r="C61" s="146">
        <v>1</v>
      </c>
      <c r="D61" s="218">
        <v>19.53</v>
      </c>
      <c r="E61" s="219">
        <f t="shared" si="0"/>
        <v>19.53</v>
      </c>
    </row>
    <row r="62" spans="1:5" x14ac:dyDescent="0.25">
      <c r="A62" s="139">
        <v>59</v>
      </c>
      <c r="B62" s="177" t="s">
        <v>424</v>
      </c>
      <c r="C62" s="146">
        <v>1</v>
      </c>
      <c r="D62" s="218">
        <v>29.87</v>
      </c>
      <c r="E62" s="219">
        <f t="shared" si="0"/>
        <v>29.87</v>
      </c>
    </row>
    <row r="63" spans="1:5" x14ac:dyDescent="0.25">
      <c r="A63" s="162">
        <v>60</v>
      </c>
      <c r="B63" s="177" t="s">
        <v>425</v>
      </c>
      <c r="C63" s="146">
        <v>1</v>
      </c>
      <c r="D63" s="218">
        <v>34.07</v>
      </c>
      <c r="E63" s="219">
        <f t="shared" si="0"/>
        <v>34.07</v>
      </c>
    </row>
    <row r="64" spans="1:5" x14ac:dyDescent="0.25">
      <c r="A64" s="139">
        <v>61</v>
      </c>
      <c r="B64" s="177" t="s">
        <v>426</v>
      </c>
      <c r="C64" s="146">
        <v>1</v>
      </c>
      <c r="D64" s="218">
        <v>47.29</v>
      </c>
      <c r="E64" s="219">
        <f t="shared" si="0"/>
        <v>47.29</v>
      </c>
    </row>
    <row r="65" spans="1:5" x14ac:dyDescent="0.25">
      <c r="A65" s="162">
        <v>62</v>
      </c>
      <c r="B65" s="177" t="s">
        <v>427</v>
      </c>
      <c r="C65" s="146">
        <v>1</v>
      </c>
      <c r="D65" s="218">
        <v>457.34</v>
      </c>
      <c r="E65" s="219">
        <f t="shared" si="0"/>
        <v>457.34</v>
      </c>
    </row>
    <row r="66" spans="1:5" x14ac:dyDescent="0.25">
      <c r="A66" s="139">
        <v>63</v>
      </c>
      <c r="B66" s="177" t="s">
        <v>428</v>
      </c>
      <c r="C66" s="146">
        <v>1</v>
      </c>
      <c r="D66" s="218">
        <v>1512.13</v>
      </c>
      <c r="E66" s="219">
        <f t="shared" si="0"/>
        <v>1512.13</v>
      </c>
    </row>
    <row r="67" spans="1:5" x14ac:dyDescent="0.25">
      <c r="A67" s="162">
        <v>64</v>
      </c>
      <c r="B67" s="177" t="s">
        <v>429</v>
      </c>
      <c r="C67" s="146">
        <v>1</v>
      </c>
      <c r="D67" s="218">
        <v>164.48</v>
      </c>
      <c r="E67" s="219">
        <f t="shared" si="0"/>
        <v>164.48</v>
      </c>
    </row>
    <row r="68" spans="1:5" x14ac:dyDescent="0.25">
      <c r="A68" s="139">
        <v>65</v>
      </c>
      <c r="B68" s="177" t="s">
        <v>430</v>
      </c>
      <c r="C68" s="146">
        <v>1</v>
      </c>
      <c r="D68" s="218">
        <v>39.729999999999997</v>
      </c>
      <c r="E68" s="219">
        <f t="shared" ref="E68:E70" si="1">D68*C68</f>
        <v>39.729999999999997</v>
      </c>
    </row>
    <row r="69" spans="1:5" x14ac:dyDescent="0.25">
      <c r="A69" s="162">
        <v>66</v>
      </c>
      <c r="B69" s="177" t="s">
        <v>431</v>
      </c>
      <c r="C69" s="146">
        <v>1</v>
      </c>
      <c r="D69" s="218">
        <v>394.26</v>
      </c>
      <c r="E69" s="219">
        <f t="shared" si="1"/>
        <v>394.26</v>
      </c>
    </row>
    <row r="70" spans="1:5" x14ac:dyDescent="0.25">
      <c r="A70" s="139">
        <v>67</v>
      </c>
      <c r="B70" s="177" t="s">
        <v>432</v>
      </c>
      <c r="C70" s="146">
        <v>1</v>
      </c>
      <c r="D70" s="218">
        <v>53.97</v>
      </c>
      <c r="E70" s="219">
        <f t="shared" si="1"/>
        <v>53.97</v>
      </c>
    </row>
    <row r="71" spans="1:5" x14ac:dyDescent="0.25">
      <c r="A71" s="364" t="s">
        <v>433</v>
      </c>
      <c r="B71" s="364"/>
      <c r="C71" s="364"/>
      <c r="D71" s="364"/>
      <c r="E71" s="221">
        <f>SUM(E4:E70)</f>
        <v>8443.4299999999985</v>
      </c>
    </row>
    <row r="72" spans="1:5" x14ac:dyDescent="0.25">
      <c r="A72" s="365" t="s">
        <v>434</v>
      </c>
      <c r="B72" s="365"/>
      <c r="C72" s="365"/>
      <c r="D72" s="365"/>
      <c r="E72" s="222">
        <f>E71*0.5%</f>
        <v>42.217149999999997</v>
      </c>
    </row>
    <row r="73" spans="1:5" x14ac:dyDescent="0.25">
      <c r="A73" s="366" t="s">
        <v>435</v>
      </c>
      <c r="B73" s="366"/>
      <c r="C73" s="366"/>
      <c r="D73" s="223">
        <v>0.2</v>
      </c>
      <c r="E73" s="222">
        <f>D73*E71</f>
        <v>1688.6859999999997</v>
      </c>
    </row>
    <row r="74" spans="1:5" x14ac:dyDescent="0.25">
      <c r="A74" s="365" t="s">
        <v>436</v>
      </c>
      <c r="B74" s="365"/>
      <c r="C74" s="365"/>
      <c r="D74" s="365"/>
      <c r="E74" s="222">
        <f>((E71-E73)/8)/12</f>
        <v>70.361916666666659</v>
      </c>
    </row>
    <row r="75" spans="1:5" x14ac:dyDescent="0.25">
      <c r="A75" s="361" t="s">
        <v>437</v>
      </c>
      <c r="B75" s="361"/>
      <c r="C75" s="361"/>
      <c r="D75" s="361"/>
      <c r="E75" s="224">
        <f>E72+E74</f>
        <v>112.57906666666665</v>
      </c>
    </row>
    <row r="76" spans="1:5" x14ac:dyDescent="0.25">
      <c r="A76" s="356" t="s">
        <v>438</v>
      </c>
      <c r="B76" s="356"/>
      <c r="C76" s="356"/>
      <c r="D76" s="356"/>
      <c r="E76" s="225">
        <v>1</v>
      </c>
    </row>
    <row r="77" spans="1:5" x14ac:dyDescent="0.25">
      <c r="A77" s="357" t="s">
        <v>439</v>
      </c>
      <c r="B77" s="357"/>
      <c r="C77" s="357"/>
      <c r="D77" s="357"/>
      <c r="E77" s="226">
        <f>E75/E76</f>
        <v>112.57906666666665</v>
      </c>
    </row>
    <row r="78" spans="1:5" x14ac:dyDescent="0.25">
      <c r="A78" s="358" t="s">
        <v>440</v>
      </c>
      <c r="B78" s="358"/>
      <c r="C78" s="358"/>
      <c r="D78" s="358"/>
      <c r="E78" s="358"/>
    </row>
    <row r="79" spans="1:5" x14ac:dyDescent="0.25">
      <c r="A79" s="359" t="s">
        <v>441</v>
      </c>
      <c r="B79" s="359"/>
      <c r="C79" s="359"/>
      <c r="D79" s="359"/>
      <c r="E79" s="359"/>
    </row>
    <row r="80" spans="1:5" x14ac:dyDescent="0.25">
      <c r="A80" s="360"/>
      <c r="B80" s="360"/>
      <c r="C80" s="360"/>
      <c r="D80" s="360"/>
      <c r="E80" s="360"/>
    </row>
  </sheetData>
  <mergeCells count="11">
    <mergeCell ref="A75:D75"/>
    <mergeCell ref="A1:E1"/>
    <mergeCell ref="A71:D71"/>
    <mergeCell ref="A72:D72"/>
    <mergeCell ref="A73:C73"/>
    <mergeCell ref="A74:D74"/>
    <mergeCell ref="A76:D76"/>
    <mergeCell ref="A77:D77"/>
    <mergeCell ref="A78:E78"/>
    <mergeCell ref="A79:E79"/>
    <mergeCell ref="A80:E80"/>
  </mergeCells>
  <pageMargins left="0.51181102362204722" right="0.51181102362204722" top="0.78740157480314965" bottom="0.78740157480314965" header="0.31496062992125984" footer="0.31496062992125984"/>
  <pageSetup paperSize="9" scale="82" fitToHeight="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C247F-9A5E-4E5A-AB4A-7C0233739FDA}">
  <sheetPr>
    <pageSetUpPr fitToPage="1"/>
  </sheetPr>
  <dimension ref="B1:H22"/>
  <sheetViews>
    <sheetView showGridLines="0" workbookViewId="0">
      <selection activeCell="E13" sqref="E13"/>
    </sheetView>
  </sheetViews>
  <sheetFormatPr defaultColWidth="8.85546875" defaultRowHeight="15" x14ac:dyDescent="0.25"/>
  <cols>
    <col min="1" max="1" width="3.42578125" customWidth="1"/>
    <col min="2" max="2" width="70.5703125" customWidth="1"/>
    <col min="3" max="5" width="15.85546875" customWidth="1"/>
    <col min="6" max="6" width="17.42578125" customWidth="1"/>
    <col min="7" max="8" width="10.42578125" bestFit="1" customWidth="1"/>
  </cols>
  <sheetData>
    <row r="1" spans="2:6" ht="18.75" x14ac:dyDescent="0.25">
      <c r="B1" s="368" t="s">
        <v>980</v>
      </c>
      <c r="C1" s="368"/>
      <c r="D1" s="368"/>
      <c r="E1" s="368"/>
      <c r="F1" s="368"/>
    </row>
    <row r="2" spans="2:6" ht="19.5" thickBot="1" x14ac:dyDescent="0.3">
      <c r="B2" s="367"/>
      <c r="C2" s="367"/>
      <c r="D2" s="367"/>
      <c r="E2" s="367"/>
      <c r="F2" s="367"/>
    </row>
    <row r="3" spans="2:6" ht="31.5" thickTop="1" thickBot="1" x14ac:dyDescent="0.3">
      <c r="B3" s="90" t="s">
        <v>442</v>
      </c>
      <c r="C3" s="90" t="s">
        <v>443</v>
      </c>
      <c r="D3" s="90" t="s">
        <v>444</v>
      </c>
      <c r="E3" s="90" t="s">
        <v>445</v>
      </c>
      <c r="F3" s="90" t="s">
        <v>446</v>
      </c>
    </row>
    <row r="4" spans="2:6" x14ac:dyDescent="0.25">
      <c r="B4" s="85" t="s">
        <v>447</v>
      </c>
      <c r="C4" s="84">
        <v>2</v>
      </c>
      <c r="D4" s="84">
        <v>6</v>
      </c>
      <c r="E4" s="105">
        <v>31.74</v>
      </c>
      <c r="F4" s="105">
        <f t="shared" ref="F4:F10" si="0">C4*E4/D4</f>
        <v>10.58</v>
      </c>
    </row>
    <row r="5" spans="2:6" x14ac:dyDescent="0.25">
      <c r="B5" s="85" t="s">
        <v>448</v>
      </c>
      <c r="C5" s="84">
        <v>2</v>
      </c>
      <c r="D5" s="84">
        <v>6</v>
      </c>
      <c r="E5" s="105">
        <v>27.27</v>
      </c>
      <c r="F5" s="105">
        <f t="shared" si="0"/>
        <v>9.09</v>
      </c>
    </row>
    <row r="6" spans="2:6" x14ac:dyDescent="0.25">
      <c r="B6" s="85" t="s">
        <v>449</v>
      </c>
      <c r="C6" s="84">
        <v>2</v>
      </c>
      <c r="D6" s="84">
        <v>6</v>
      </c>
      <c r="E6" s="105">
        <v>63.23</v>
      </c>
      <c r="F6" s="105">
        <f t="shared" si="0"/>
        <v>21.076666666666664</v>
      </c>
    </row>
    <row r="7" spans="2:6" x14ac:dyDescent="0.25">
      <c r="B7" s="85" t="s">
        <v>450</v>
      </c>
      <c r="C7" s="84">
        <v>1</v>
      </c>
      <c r="D7" s="84">
        <v>6</v>
      </c>
      <c r="E7" s="105">
        <v>46.62</v>
      </c>
      <c r="F7" s="105">
        <f t="shared" si="0"/>
        <v>7.77</v>
      </c>
    </row>
    <row r="8" spans="2:6" x14ac:dyDescent="0.25">
      <c r="B8" s="85" t="s">
        <v>451</v>
      </c>
      <c r="C8" s="84">
        <v>1</v>
      </c>
      <c r="D8" s="84">
        <v>12</v>
      </c>
      <c r="E8" s="105">
        <v>72.56</v>
      </c>
      <c r="F8" s="105">
        <f t="shared" si="0"/>
        <v>6.0466666666666669</v>
      </c>
    </row>
    <row r="9" spans="2:6" x14ac:dyDescent="0.25">
      <c r="B9" s="85" t="s">
        <v>452</v>
      </c>
      <c r="C9" s="84">
        <v>1</v>
      </c>
      <c r="D9" s="84">
        <v>6</v>
      </c>
      <c r="E9" s="105">
        <v>86.43</v>
      </c>
      <c r="F9" s="105">
        <f t="shared" si="0"/>
        <v>14.405000000000001</v>
      </c>
    </row>
    <row r="10" spans="2:6" x14ac:dyDescent="0.25">
      <c r="B10" s="85" t="s">
        <v>453</v>
      </c>
      <c r="C10" s="84">
        <v>1</v>
      </c>
      <c r="D10" s="84">
        <v>12</v>
      </c>
      <c r="E10" s="105">
        <v>21.66</v>
      </c>
      <c r="F10" s="105">
        <f t="shared" si="0"/>
        <v>1.8049999999999999</v>
      </c>
    </row>
    <row r="11" spans="2:6" x14ac:dyDescent="0.25">
      <c r="B11" t="s">
        <v>454</v>
      </c>
      <c r="C11" s="84">
        <v>1</v>
      </c>
      <c r="D11" s="84">
        <v>60</v>
      </c>
      <c r="E11" s="105">
        <v>307.45</v>
      </c>
      <c r="F11" s="105">
        <f>C11*E11/D11</f>
        <v>5.1241666666666665</v>
      </c>
    </row>
    <row r="12" spans="2:6" ht="15.75" thickBot="1" x14ac:dyDescent="0.3">
      <c r="B12" s="85" t="s">
        <v>982</v>
      </c>
      <c r="C12" s="84">
        <v>1</v>
      </c>
      <c r="D12" s="84">
        <v>12</v>
      </c>
      <c r="E12" s="105">
        <v>144.72</v>
      </c>
      <c r="F12" s="105">
        <f>C12*E12/D12</f>
        <v>12.06</v>
      </c>
    </row>
    <row r="13" spans="2:6" ht="15.75" thickBot="1" x14ac:dyDescent="0.3">
      <c r="B13" s="98" t="s">
        <v>455</v>
      </c>
      <c r="C13" s="99"/>
      <c r="D13" s="99"/>
      <c r="E13" s="106"/>
      <c r="F13" s="107">
        <f>SUM(F4:F12)</f>
        <v>87.95750000000001</v>
      </c>
    </row>
    <row r="14" spans="2:6" ht="15.75" thickTop="1" x14ac:dyDescent="0.25"/>
    <row r="17" spans="3:8" x14ac:dyDescent="0.25">
      <c r="C17" s="104"/>
      <c r="D17" s="104"/>
      <c r="F17" s="104"/>
    </row>
    <row r="18" spans="3:8" x14ac:dyDescent="0.25">
      <c r="C18" s="104"/>
      <c r="D18" s="104"/>
      <c r="F18" s="104"/>
      <c r="G18" s="104"/>
      <c r="H18" s="104"/>
    </row>
    <row r="19" spans="3:8" x14ac:dyDescent="0.25">
      <c r="C19" s="104"/>
      <c r="D19" s="104"/>
    </row>
    <row r="22" spans="3:8" x14ac:dyDescent="0.25">
      <c r="F22" s="104"/>
    </row>
  </sheetData>
  <mergeCells count="2">
    <mergeCell ref="B2:F2"/>
    <mergeCell ref="B1:F1"/>
  </mergeCells>
  <pageMargins left="0.51181102362204722" right="0.51181102362204722" top="0.78740157480314965" bottom="0.78740157480314965" header="0.31496062992125984" footer="0.31496062992125984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10</vt:i4>
      </vt:variant>
    </vt:vector>
  </HeadingPairs>
  <TitlesOfParts>
    <vt:vector size="23" baseType="lpstr">
      <vt:lpstr>Pesquisa de preço</vt:lpstr>
      <vt:lpstr>Orçamento Estimado</vt:lpstr>
      <vt:lpstr>Oficial de Manutenção SJC</vt:lpstr>
      <vt:lpstr>Oficial de Manutenção SP</vt:lpstr>
      <vt:lpstr>Engenheiro Eletricista</vt:lpstr>
      <vt:lpstr>Eng. Mec.</vt:lpstr>
      <vt:lpstr>Valor Ref. Manut. AC</vt:lpstr>
      <vt:lpstr>Ferramentas</vt:lpstr>
      <vt:lpstr>Uniformes</vt:lpstr>
      <vt:lpstr>BDI</vt:lpstr>
      <vt:lpstr>Materiais Reposição</vt:lpstr>
      <vt:lpstr>Serviços Eventuais</vt:lpstr>
      <vt:lpstr>Valores Referenciais</vt:lpstr>
      <vt:lpstr>BDI!Area_de_impressao</vt:lpstr>
      <vt:lpstr>'Eng. Mec.'!Area_de_impressao</vt:lpstr>
      <vt:lpstr>'Engenheiro Eletricista'!Area_de_impressao</vt:lpstr>
      <vt:lpstr>Ferramentas!Area_de_impressao</vt:lpstr>
      <vt:lpstr>'Materiais Reposição'!Area_de_impressao</vt:lpstr>
      <vt:lpstr>'Oficial de Manutenção SJC'!Area_de_impressao</vt:lpstr>
      <vt:lpstr>'Oficial de Manutenção SP'!Area_de_impressao</vt:lpstr>
      <vt:lpstr>'Orçamento Estimado'!Area_de_impressao</vt:lpstr>
      <vt:lpstr>'Serviços Eventuais'!Area_de_impressao</vt:lpstr>
      <vt:lpstr>Uniformes!Area_de_impressao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gisele.oliveira</dc:creator>
  <cp:keywords/>
  <dc:description/>
  <cp:lastModifiedBy>Darlesson Alves do Carmo</cp:lastModifiedBy>
  <cp:revision/>
  <dcterms:created xsi:type="dcterms:W3CDTF">2011-07-13T17:15:58Z</dcterms:created>
  <dcterms:modified xsi:type="dcterms:W3CDTF">2025-03-21T13:41:57Z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d1718231-e157-4ccc-b6cf-0c2338374c07</vt:lpwstr>
  </property>
</Properties>
</file>