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E:\ANAC\Copeiragem\202409\"/>
    </mc:Choice>
  </mc:AlternateContent>
  <xr:revisionPtr revIDLastSave="0" documentId="13_ncr:1_{3F693838-2F4E-47BF-826F-9D262F1DBA42}" xr6:coauthVersionLast="47" xr6:coauthVersionMax="47" xr10:uidLastSave="{00000000-0000-0000-0000-000000000000}"/>
  <bookViews>
    <workbookView xWindow="-28920" yWindow="-45" windowWidth="29040" windowHeight="15720" tabRatio="725" activeTab="1" xr2:uid="{00000000-000D-0000-FFFF-FFFF00000000}"/>
  </bookViews>
  <sheets>
    <sheet name="Geral" sheetId="19" r:id="rId1"/>
    <sheet name="Mão de obra" sheetId="16" r:id="rId2"/>
    <sheet name="Uniforme" sheetId="18" r:id="rId3"/>
    <sheet name="Uniformes - Levantamento" sheetId="34" r:id="rId4"/>
    <sheet name="Materiais e utensílios" sheetId="17"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54" i="17" l="1"/>
  <c r="Q54" i="17"/>
  <c r="M54" i="17"/>
  <c r="K54" i="17"/>
  <c r="G54" i="17"/>
  <c r="E27" i="19"/>
  <c r="S27" i="17"/>
  <c r="M27" i="17"/>
  <c r="H28" i="17"/>
  <c r="G27" i="17"/>
  <c r="E24" i="19"/>
  <c r="E28" i="19"/>
  <c r="E29" i="19" s="1"/>
  <c r="E25" i="19"/>
  <c r="E26" i="19" s="1"/>
  <c r="D21" i="19"/>
  <c r="E21" i="19" s="1"/>
  <c r="F21" i="19" s="1"/>
  <c r="D20" i="19"/>
  <c r="E20" i="19" s="1"/>
  <c r="F20" i="19" l="1"/>
  <c r="F22" i="19" s="1"/>
  <c r="E22" i="19"/>
  <c r="E30" i="19" s="1"/>
  <c r="F24" i="19"/>
  <c r="F27" i="19"/>
  <c r="R41" i="19"/>
  <c r="S52" i="17"/>
  <c r="S34" i="17"/>
  <c r="S50" i="17"/>
  <c r="S48" i="17"/>
  <c r="S51" i="17"/>
  <c r="S49" i="17"/>
  <c r="S47" i="17"/>
  <c r="S45" i="17"/>
  <c r="S44" i="17"/>
  <c r="S43" i="17"/>
  <c r="S40" i="17"/>
  <c r="S39" i="17"/>
  <c r="S38" i="17"/>
  <c r="S37" i="17"/>
  <c r="S36" i="17"/>
  <c r="S35" i="17"/>
  <c r="S33" i="17"/>
  <c r="S32" i="17"/>
  <c r="S46" i="17"/>
  <c r="S42" i="17"/>
  <c r="S41" i="17"/>
  <c r="S25" i="17"/>
  <c r="Q25" i="17"/>
  <c r="S24" i="17"/>
  <c r="Q24" i="17"/>
  <c r="S23" i="17"/>
  <c r="Q23" i="17"/>
  <c r="S22" i="17"/>
  <c r="Q22" i="17"/>
  <c r="S21" i="17"/>
  <c r="Q21" i="17"/>
  <c r="S20" i="17"/>
  <c r="Q20" i="17"/>
  <c r="S19" i="17"/>
  <c r="Q19" i="17"/>
  <c r="S18" i="17"/>
  <c r="Q18" i="17"/>
  <c r="S17" i="17"/>
  <c r="Q17" i="17"/>
  <c r="S16" i="17"/>
  <c r="Q16" i="17"/>
  <c r="S15" i="17"/>
  <c r="Q15" i="17"/>
  <c r="S14" i="17"/>
  <c r="Q14" i="17"/>
  <c r="S13" i="17"/>
  <c r="Q13" i="17"/>
  <c r="S12" i="17"/>
  <c r="Q12" i="17"/>
  <c r="S11" i="17"/>
  <c r="Q11" i="17"/>
  <c r="S10" i="17"/>
  <c r="Q10" i="17"/>
  <c r="S9" i="17"/>
  <c r="Q9" i="17"/>
  <c r="S8" i="17"/>
  <c r="Q8" i="17"/>
  <c r="S7" i="17"/>
  <c r="Q7" i="17"/>
  <c r="S6" i="17"/>
  <c r="Q6" i="17"/>
  <c r="S5" i="17"/>
  <c r="Q5" i="17"/>
  <c r="S4" i="17"/>
  <c r="Q4" i="17"/>
  <c r="M53" i="17"/>
  <c r="M26" i="17"/>
  <c r="K53" i="17"/>
  <c r="F25" i="19" l="1"/>
  <c r="F26" i="19"/>
  <c r="F31" i="19" s="1"/>
  <c r="F28" i="19"/>
  <c r="F29" i="19" s="1"/>
  <c r="F30" i="19" s="1"/>
  <c r="R60" i="19"/>
  <c r="R59" i="19"/>
  <c r="R42" i="19"/>
  <c r="Q53" i="17"/>
  <c r="Q55" i="17" s="1"/>
  <c r="S26" i="17"/>
  <c r="S28" i="17"/>
  <c r="S53" i="17"/>
  <c r="M55" i="17"/>
  <c r="M28" i="17"/>
  <c r="K55" i="17"/>
  <c r="N11" i="19" s="1"/>
  <c r="T28" i="17" l="1"/>
  <c r="N10" i="19"/>
  <c r="N28" i="17"/>
  <c r="S55" i="17"/>
  <c r="E11" i="19" l="1"/>
  <c r="E10" i="19"/>
  <c r="O10" i="19"/>
  <c r="O11" i="19"/>
  <c r="G28" i="17"/>
  <c r="M7" i="19"/>
  <c r="N7" i="19" s="1"/>
  <c r="O7" i="19" s="1"/>
  <c r="M6" i="19"/>
  <c r="N6" i="19" s="1"/>
  <c r="O12" i="19" l="1"/>
  <c r="N8" i="19"/>
  <c r="N12" i="19" s="1"/>
  <c r="O6" i="19"/>
  <c r="O8" i="19" s="1"/>
  <c r="K46" i="17"/>
  <c r="M46" i="17" s="1"/>
  <c r="K50" i="17"/>
  <c r="M50" i="17" s="1"/>
  <c r="K39" i="17"/>
  <c r="M39" i="17" s="1"/>
  <c r="K44" i="17"/>
  <c r="M44" i="17" s="1"/>
  <c r="K43" i="17"/>
  <c r="M43" i="17" s="1"/>
  <c r="K42" i="17"/>
  <c r="M42" i="17" s="1"/>
  <c r="K52" i="17"/>
  <c r="M52" i="17" s="1"/>
  <c r="K40" i="17"/>
  <c r="M40" i="17" s="1"/>
  <c r="K41" i="17"/>
  <c r="M41" i="17" s="1"/>
  <c r="K48" i="17"/>
  <c r="M48" i="17" s="1"/>
  <c r="K34" i="17"/>
  <c r="M34" i="17" s="1"/>
  <c r="K35" i="17"/>
  <c r="M35" i="17" s="1"/>
  <c r="K45" i="17"/>
  <c r="M45" i="17" s="1"/>
  <c r="K47" i="17"/>
  <c r="M47" i="17" s="1"/>
  <c r="K37" i="17"/>
  <c r="M37" i="17" s="1"/>
  <c r="K32" i="17"/>
  <c r="M32" i="17" s="1"/>
  <c r="K51" i="17"/>
  <c r="M51" i="17" s="1"/>
  <c r="K49" i="17"/>
  <c r="M49" i="17" s="1"/>
  <c r="K33" i="17"/>
  <c r="M33" i="17" s="1"/>
  <c r="K38" i="17"/>
  <c r="M38" i="17" s="1"/>
  <c r="K36" i="17"/>
  <c r="M36" i="17" s="1"/>
  <c r="M25" i="17"/>
  <c r="K25" i="17"/>
  <c r="M24" i="17"/>
  <c r="K24" i="17"/>
  <c r="M23" i="17"/>
  <c r="K23" i="17"/>
  <c r="M22" i="17"/>
  <c r="K22" i="17"/>
  <c r="M21" i="17"/>
  <c r="K21" i="17"/>
  <c r="M20" i="17"/>
  <c r="K20" i="17"/>
  <c r="M19" i="17"/>
  <c r="K19" i="17"/>
  <c r="M18" i="17"/>
  <c r="K18" i="17"/>
  <c r="M17" i="17"/>
  <c r="K17" i="17"/>
  <c r="M16" i="17"/>
  <c r="K16" i="17"/>
  <c r="M15" i="17"/>
  <c r="K15" i="17"/>
  <c r="M14" i="17"/>
  <c r="K14" i="17"/>
  <c r="M13" i="17"/>
  <c r="K13" i="17"/>
  <c r="M12" i="17"/>
  <c r="K12" i="17"/>
  <c r="M11" i="17"/>
  <c r="K11" i="17"/>
  <c r="M10" i="17"/>
  <c r="K10" i="17"/>
  <c r="M9" i="17"/>
  <c r="K9" i="17"/>
  <c r="M8" i="17"/>
  <c r="K8" i="17"/>
  <c r="M7" i="17"/>
  <c r="K7" i="17"/>
  <c r="M6" i="17"/>
  <c r="K6" i="17"/>
  <c r="M5" i="17"/>
  <c r="K5" i="17"/>
  <c r="M4" i="17"/>
  <c r="K4" i="17"/>
  <c r="O13" i="19" l="1"/>
  <c r="D6" i="19" l="1"/>
  <c r="D7" i="19"/>
  <c r="E16" i="34"/>
  <c r="E15" i="34"/>
  <c r="E14" i="34"/>
  <c r="E13" i="34"/>
  <c r="E12" i="34"/>
  <c r="E11" i="34"/>
  <c r="E9" i="34"/>
  <c r="E8" i="34"/>
  <c r="E7" i="34"/>
  <c r="E6" i="34"/>
  <c r="E5" i="34"/>
  <c r="E4" i="34"/>
  <c r="E3" i="34"/>
  <c r="E2" i="34"/>
  <c r="E38" i="17"/>
  <c r="G38" i="17" s="1"/>
  <c r="E33" i="17"/>
  <c r="G33" i="17" s="1"/>
  <c r="E49" i="17"/>
  <c r="G49" i="17" s="1"/>
  <c r="E51" i="17"/>
  <c r="G51" i="17" s="1"/>
  <c r="E32" i="17"/>
  <c r="G32" i="17" s="1"/>
  <c r="E37" i="17"/>
  <c r="G37" i="17" s="1"/>
  <c r="E47" i="17"/>
  <c r="G47" i="17" s="1"/>
  <c r="E45" i="17"/>
  <c r="G45" i="17" s="1"/>
  <c r="E35" i="17"/>
  <c r="G35" i="17" s="1"/>
  <c r="E34" i="17"/>
  <c r="G34" i="17" s="1"/>
  <c r="E48" i="17"/>
  <c r="G48" i="17" s="1"/>
  <c r="E41" i="17"/>
  <c r="G41" i="17" s="1"/>
  <c r="E40" i="17"/>
  <c r="G40" i="17" s="1"/>
  <c r="E52" i="17"/>
  <c r="G52" i="17" s="1"/>
  <c r="E42" i="17"/>
  <c r="G42" i="17" s="1"/>
  <c r="E43" i="17"/>
  <c r="G43" i="17" s="1"/>
  <c r="E44" i="17"/>
  <c r="G44" i="17" s="1"/>
  <c r="E39" i="17"/>
  <c r="G39" i="17" s="1"/>
  <c r="E50" i="17"/>
  <c r="G50" i="17" s="1"/>
  <c r="E46" i="17"/>
  <c r="G46" i="17" s="1"/>
  <c r="E36" i="17"/>
  <c r="G36" i="17" s="1"/>
  <c r="G13" i="17"/>
  <c r="E13" i="17"/>
  <c r="E5" i="17"/>
  <c r="E6" i="17"/>
  <c r="E7" i="17"/>
  <c r="E8" i="17"/>
  <c r="E9" i="17"/>
  <c r="E10" i="17"/>
  <c r="E11" i="17"/>
  <c r="E12" i="17"/>
  <c r="E14" i="17"/>
  <c r="E15" i="17"/>
  <c r="E16" i="17"/>
  <c r="E17" i="17"/>
  <c r="E18" i="17"/>
  <c r="E19" i="17"/>
  <c r="E20" i="17"/>
  <c r="E21" i="17"/>
  <c r="E22" i="17"/>
  <c r="E23" i="17"/>
  <c r="E24" i="17"/>
  <c r="E25" i="17"/>
  <c r="G53" i="17" l="1"/>
  <c r="G55" i="17" l="1"/>
  <c r="E6" i="19"/>
  <c r="F6" i="19" s="1"/>
  <c r="E7" i="19"/>
  <c r="E17" i="18"/>
  <c r="E18" i="18"/>
  <c r="D17" i="18"/>
  <c r="D18" i="18"/>
  <c r="E89" i="16"/>
  <c r="D4" i="18"/>
  <c r="D3" i="18"/>
  <c r="D5" i="18"/>
  <c r="D6" i="18"/>
  <c r="D7" i="18"/>
  <c r="D8" i="18"/>
  <c r="D9" i="18"/>
  <c r="D14" i="18"/>
  <c r="D15" i="18"/>
  <c r="D16" i="18"/>
  <c r="F7" i="19" l="1"/>
  <c r="F43" i="16"/>
  <c r="D43" i="16"/>
  <c r="E10" i="16"/>
  <c r="F8" i="19" l="1"/>
  <c r="E8" i="19"/>
  <c r="D20" i="18" l="1"/>
  <c r="E20" i="18" s="1"/>
  <c r="D19" i="18"/>
  <c r="E19" i="18" s="1"/>
  <c r="E16" i="18"/>
  <c r="E15" i="18"/>
  <c r="E14" i="18"/>
  <c r="E4" i="18"/>
  <c r="E5" i="18"/>
  <c r="E6" i="18"/>
  <c r="E7" i="18"/>
  <c r="E8" i="18"/>
  <c r="E9" i="18"/>
  <c r="E3" i="18"/>
  <c r="E10" i="18" l="1"/>
  <c r="D10" i="18"/>
  <c r="E21" i="18"/>
  <c r="C89" i="16" s="1"/>
  <c r="D21" i="18"/>
  <c r="G16" i="17"/>
  <c r="E59" i="16"/>
  <c r="E53" i="17" l="1"/>
  <c r="G5" i="17"/>
  <c r="G6" i="17"/>
  <c r="G7" i="17"/>
  <c r="G8" i="17"/>
  <c r="G9" i="17"/>
  <c r="G10" i="17"/>
  <c r="G11" i="17"/>
  <c r="G12" i="17"/>
  <c r="G14" i="17"/>
  <c r="G15" i="17"/>
  <c r="G17" i="17"/>
  <c r="G18" i="17"/>
  <c r="G19" i="17"/>
  <c r="G20" i="17"/>
  <c r="G21" i="17"/>
  <c r="G22" i="17"/>
  <c r="G23" i="17"/>
  <c r="G24" i="17"/>
  <c r="G25" i="17"/>
  <c r="G4" i="17"/>
  <c r="E4" i="17"/>
  <c r="F11" i="19" l="1"/>
  <c r="E54" i="17"/>
  <c r="E55" i="17"/>
  <c r="G26" i="17"/>
  <c r="E99" i="16"/>
  <c r="E103" i="16" s="1"/>
  <c r="E39" i="16"/>
  <c r="E27" i="16" s="1"/>
  <c r="E28" i="16"/>
  <c r="E15" i="16"/>
  <c r="F21" i="16" s="1"/>
  <c r="F42" i="16" s="1"/>
  <c r="F47" i="16" s="1"/>
  <c r="E53" i="16" s="1"/>
  <c r="E12" i="19" l="1"/>
  <c r="F10" i="19"/>
  <c r="F12" i="19" s="1"/>
  <c r="F13" i="19" s="1"/>
  <c r="E21" i="16"/>
  <c r="F27" i="16" s="1"/>
  <c r="F73" i="16"/>
  <c r="F69" i="16"/>
  <c r="F62" i="16"/>
  <c r="F38" i="16"/>
  <c r="F34" i="16"/>
  <c r="F26" i="16"/>
  <c r="E107" i="16"/>
  <c r="F72" i="16"/>
  <c r="F68" i="16"/>
  <c r="F61" i="16"/>
  <c r="F71" i="16"/>
  <c r="F60" i="16"/>
  <c r="F58" i="16"/>
  <c r="F36" i="16"/>
  <c r="F32" i="16"/>
  <c r="F70" i="16"/>
  <c r="F35" i="16"/>
  <c r="F31" i="16"/>
  <c r="F37" i="16"/>
  <c r="F33" i="16"/>
  <c r="F25" i="16"/>
  <c r="F59" i="16"/>
  <c r="E63" i="16"/>
  <c r="F74" i="16" l="1"/>
  <c r="E82" i="16" s="1"/>
  <c r="F84" i="16" s="1"/>
  <c r="E85" i="16" s="1"/>
  <c r="E110" i="16" s="1"/>
  <c r="F39" i="16"/>
  <c r="E52" i="16" s="1"/>
  <c r="F28" i="16"/>
  <c r="E51" i="16" s="1"/>
  <c r="E93" i="16"/>
  <c r="E111" i="16" s="1"/>
  <c r="F63" i="16"/>
  <c r="E109" i="16" s="1"/>
  <c r="E54" i="16" l="1"/>
  <c r="F97" i="16" s="1"/>
  <c r="E108" i="16" l="1"/>
  <c r="E112" i="16" s="1"/>
  <c r="F98" i="16"/>
  <c r="F101" i="16" s="1"/>
  <c r="C99" i="16"/>
  <c r="F100" i="16" l="1"/>
  <c r="F102" i="16"/>
  <c r="C10" i="16"/>
  <c r="C15" i="16"/>
  <c r="C21" i="16" s="1"/>
  <c r="C103" i="16"/>
  <c r="C93" i="16"/>
  <c r="C111" i="16" s="1"/>
  <c r="C59" i="16"/>
  <c r="C63" i="16" s="1"/>
  <c r="C39" i="16"/>
  <c r="C27" i="16" s="1"/>
  <c r="C28" i="16"/>
  <c r="F99" i="16" l="1"/>
  <c r="F103" i="16" s="1"/>
  <c r="E113" i="16" s="1"/>
  <c r="E114" i="16" s="1"/>
  <c r="D27" i="16"/>
  <c r="D21" i="16"/>
  <c r="D59" i="16" l="1"/>
  <c r="D42" i="16"/>
  <c r="D47" i="16" s="1"/>
  <c r="E115" i="16"/>
  <c r="E116" i="16" s="1"/>
  <c r="D71" i="16"/>
  <c r="D36" i="16"/>
  <c r="D32" i="16"/>
  <c r="D25" i="16"/>
  <c r="D69" i="16"/>
  <c r="D73" i="16"/>
  <c r="D62" i="16"/>
  <c r="D72" i="16"/>
  <c r="D61" i="16"/>
  <c r="D70" i="16"/>
  <c r="D68" i="16"/>
  <c r="D58" i="16"/>
  <c r="D60" i="16"/>
  <c r="D35" i="16"/>
  <c r="C107" i="16"/>
  <c r="D31" i="16"/>
  <c r="D38" i="16"/>
  <c r="D34" i="16"/>
  <c r="D26" i="16"/>
  <c r="D37" i="16"/>
  <c r="D33" i="16"/>
  <c r="C53" i="16" l="1"/>
  <c r="D39" i="16"/>
  <c r="C52" i="16" s="1"/>
  <c r="D74" i="16"/>
  <c r="C82" i="16" s="1"/>
  <c r="D63" i="16"/>
  <c r="C109" i="16" s="1"/>
  <c r="D28" i="16"/>
  <c r="C51" i="16" s="1"/>
  <c r="D84" i="16" l="1"/>
  <c r="C85" i="16" s="1"/>
  <c r="C110" i="16" s="1"/>
  <c r="C54" i="16"/>
  <c r="D97" i="16" l="1"/>
  <c r="C108" i="16"/>
  <c r="C112" i="16" s="1"/>
  <c r="D98" i="16" l="1"/>
  <c r="D101" i="16" s="1"/>
  <c r="D102" i="16" l="1"/>
  <c r="D100" i="16"/>
  <c r="D99" i="16" l="1"/>
  <c r="D103" i="16" s="1"/>
  <c r="C113" i="16" s="1"/>
  <c r="C114" i="16" s="1"/>
  <c r="C115" i="16" l="1"/>
  <c r="C116" i="16" l="1"/>
</calcChain>
</file>

<file path=xl/sharedStrings.xml><?xml version="1.0" encoding="utf-8"?>
<sst xmlns="http://schemas.openxmlformats.org/spreadsheetml/2006/main" count="505" uniqueCount="265">
  <si>
    <t>Adicional Noturno</t>
  </si>
  <si>
    <t>%</t>
  </si>
  <si>
    <t>Outros (especificar)</t>
  </si>
  <si>
    <t>Lucro</t>
  </si>
  <si>
    <t>Data base da categoria (dia/mês/ano)</t>
  </si>
  <si>
    <t>Categoria profissional (vinculada à execução contratual)</t>
  </si>
  <si>
    <t>A</t>
  </si>
  <si>
    <t>B</t>
  </si>
  <si>
    <t>C</t>
  </si>
  <si>
    <t>D</t>
  </si>
  <si>
    <t>E</t>
  </si>
  <si>
    <t>F</t>
  </si>
  <si>
    <t>G</t>
  </si>
  <si>
    <t>H</t>
  </si>
  <si>
    <t>4.1</t>
  </si>
  <si>
    <t>4.2</t>
  </si>
  <si>
    <t>Salário Base</t>
  </si>
  <si>
    <t>PIS</t>
  </si>
  <si>
    <t>COFINS</t>
  </si>
  <si>
    <t>ISS</t>
  </si>
  <si>
    <t>Classificação Brasileira de Ocupações (CBO)</t>
  </si>
  <si>
    <t>Adicional de Hora Noturna Reduzida</t>
  </si>
  <si>
    <t>2.1</t>
  </si>
  <si>
    <t>2.2</t>
  </si>
  <si>
    <t>2.3</t>
  </si>
  <si>
    <t>Benefícios Mensais e Diários</t>
  </si>
  <si>
    <t>Aviso Prévio Indenizado</t>
  </si>
  <si>
    <t>Módulo 4 - Custo de Reposição do Profissional Ausente</t>
  </si>
  <si>
    <t>Total</t>
  </si>
  <si>
    <t>Composição da Remuneração</t>
  </si>
  <si>
    <t>Valor (R$)</t>
  </si>
  <si>
    <t>Módulo 2 - Encargos e Benefícios Anuais, Mensais e Diários</t>
  </si>
  <si>
    <t>13º (décimo terceiro) Salário, Férias e Adicional de Férias</t>
  </si>
  <si>
    <t>13º (décimo terceiro) Salário</t>
  </si>
  <si>
    <t>Férias e Adicional de Férias</t>
  </si>
  <si>
    <t>GPS, FGTS e outras contribuições</t>
  </si>
  <si>
    <t>INSS</t>
  </si>
  <si>
    <t>SENAI - SENAC</t>
  </si>
  <si>
    <t>SEBRAE</t>
  </si>
  <si>
    <t>INCRA</t>
  </si>
  <si>
    <t>FGTS</t>
  </si>
  <si>
    <t>Quadro-Resumo do Módulo 2 - Encargos e Benefícios anuais, mensais e diários</t>
  </si>
  <si>
    <t>Módulo 3 - Provisão para Rescisão</t>
  </si>
  <si>
    <t>Provisão para Rescisão</t>
  </si>
  <si>
    <t>Incidência do FGTS sobre o Aviso Prévio Indenizado</t>
  </si>
  <si>
    <t>Aviso Prévio Trabalhado</t>
  </si>
  <si>
    <t>Multa do FGTS e contribuição social sobre o Aviso Prévio Trabalhado</t>
  </si>
  <si>
    <t>Quadro-Resumo do Módulo 4 - Custo de Reposição do Profissional Ausente</t>
  </si>
  <si>
    <t>Custo de Reposição do Profissional Ausente</t>
  </si>
  <si>
    <t>Módulo 5 - Insumos Diversos</t>
  </si>
  <si>
    <t>Insumos Diversos</t>
  </si>
  <si>
    <t>Uniformes</t>
  </si>
  <si>
    <t>Módulo 6 - Custos Indiretos, Tributos e Lucro</t>
  </si>
  <si>
    <t>Mão de obra vinculada à execução contratual (valor por empregado)</t>
  </si>
  <si>
    <t>Módulo 1 - Composição da Remuneração</t>
  </si>
  <si>
    <t>Subtotal (A + B +C+ D+E)</t>
  </si>
  <si>
    <t>Módulo 6 – Custos Indiretos, Tributos e Lucro</t>
  </si>
  <si>
    <t xml:space="preserve">Valor Total por Empregado </t>
  </si>
  <si>
    <t>Auxilio Funeral</t>
  </si>
  <si>
    <t>ANEXO III - PLANILHA DE CUSTOS E FORMAÇÃO DE PREÇOS</t>
  </si>
  <si>
    <t>IDENTIFICAÇÃO DOS SERVIÇOS</t>
  </si>
  <si>
    <t>(Categoria Profissional / Mão de obra do preposto)</t>
  </si>
  <si>
    <t>Quantidade de postos</t>
  </si>
  <si>
    <t>DADOS COMPLEMENTARES PARA COMPOSIÇÃO DOS CUSTOS REFERENTE A MÃO DE OBRA</t>
  </si>
  <si>
    <t>Tipo de Serviço (mesmo serviço com características distintas)</t>
  </si>
  <si>
    <t>Salário mínimo oficial vigente da categoria</t>
  </si>
  <si>
    <t>Adicional de periculosidade</t>
  </si>
  <si>
    <t>Adcional de Insalubridade</t>
  </si>
  <si>
    <t>Incidência do submódulo 2.2 sobre 13º Salário, férias e Adicional de Férias</t>
  </si>
  <si>
    <t>Encargos Previdenciários (GPS), Fundo de Garantia por Tempo de Serviço (FGTS) e outras contribuições.</t>
  </si>
  <si>
    <t>Salário educação</t>
  </si>
  <si>
    <t>Seguro Acidente do Trabalho - SAT (FAP x RAT)</t>
  </si>
  <si>
    <t>SESC OU SESI</t>
  </si>
  <si>
    <t>Frequência</t>
  </si>
  <si>
    <t>Transporte (22 * X)-(salário base x 6%)</t>
  </si>
  <si>
    <t>Diária</t>
  </si>
  <si>
    <t>Mensal</t>
  </si>
  <si>
    <t xml:space="preserve"> Encargos e Benefícios Anuais, Mensais e Diários</t>
  </si>
  <si>
    <t>Incidência de GPS, FGTS e outras contribuições sobre o Aviso Prévio Trabalhado</t>
  </si>
  <si>
    <t>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</si>
  <si>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</si>
  <si>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</si>
  <si>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</si>
  <si>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</si>
  <si>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</si>
  <si>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</si>
  <si>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Substituto na Intrajornada</t>
  </si>
  <si>
    <t>Substituto na cobertura de Intervalo para repouso ou alimentação</t>
  </si>
  <si>
    <t>Materiais/Insumos</t>
  </si>
  <si>
    <t>Utensílios e equipamentos</t>
  </si>
  <si>
    <t>Custos Indiretos, Tributos e Lucro</t>
  </si>
  <si>
    <t>Custos indiretos</t>
  </si>
  <si>
    <t>Tributos</t>
  </si>
  <si>
    <t>Quadro-Resumo do Custo por Empregado</t>
  </si>
  <si>
    <t>Total Mensal</t>
  </si>
  <si>
    <t>Total Anual</t>
  </si>
  <si>
    <t>4.3</t>
  </si>
  <si>
    <t>Incidência submódulo 2.2 sobre 4.1</t>
  </si>
  <si>
    <t>Nota 1: Em virtude da Lei nº 13.932, de 11 de dezembro de 2019 que extinguiu a cobrança da contribuição social de 10% (dez por cento) devida pelos empregadores em caso de despedida sem justa causa, instituída pela Lei Complementar nº 110, de 29 de junho de 2001, essa rubrica foi retirada na memória de cálculo das alíneas "C" e "F" seguindo as orientações do Ministério da Economia publicada no Comprasnet https://www.comprasgovernamentais.gov.br/index.php/noticias/1238-extincao-contribuicao-social-sobre-o-fgts. Sendo assim os itens somados tem o percentual de 4%</t>
  </si>
  <si>
    <t>Copeira</t>
  </si>
  <si>
    <t>Garçom</t>
  </si>
  <si>
    <t>Insumos</t>
  </si>
  <si>
    <t>Material de consumo</t>
  </si>
  <si>
    <t>Utensílios</t>
  </si>
  <si>
    <t>Especificações - material de consumo</t>
  </si>
  <si>
    <t>Unidade de medida</t>
  </si>
  <si>
    <t>Quantidade Mensal Estimada</t>
  </si>
  <si>
    <t>Quantidade Anual Estimada</t>
  </si>
  <si>
    <t>Açucar cristal - pacote 5kg</t>
  </si>
  <si>
    <t>Água Mineral acondicionada em garrafões de 20 litros</t>
  </si>
  <si>
    <t>Água Saniária, frasco comm 1 litro</t>
  </si>
  <si>
    <t>Álcool comum, fransco com 1 litro</t>
  </si>
  <si>
    <t>Café torrado e moído de 1ª qualidade com selo de pureza ABIC, em pacotes de 500 gramas</t>
  </si>
  <si>
    <t>Detergente líquido para lavação de loucas, neutro - frasco 500 ml</t>
  </si>
  <si>
    <t>Espoja de aço - pacote com 8 unidades</t>
  </si>
  <si>
    <t>Forro para bandeja redonda</t>
  </si>
  <si>
    <t>Multiuso - Frasco com 500 ml</t>
  </si>
  <si>
    <t>Pano de prato - unidade</t>
  </si>
  <si>
    <t>Pano para limpeza tipo perflez - pacote com 5</t>
  </si>
  <si>
    <t>Sabão em barra neutro, 200 gramas</t>
  </si>
  <si>
    <t>Sabão em pó - caixa 1 kg</t>
  </si>
  <si>
    <t>Saco de Algodão para limpeza de chão</t>
  </si>
  <si>
    <t>Saco para lixo tamanho, 60 litros, cor preta - pacote 50 unidades</t>
  </si>
  <si>
    <t>Coador para cafeteira elétrica</t>
  </si>
  <si>
    <t>Guardanapo de papel não reciclável de 1ª qualidade - medindo aproximadamente 20x33</t>
  </si>
  <si>
    <t>Kg</t>
  </si>
  <si>
    <t>Unidade</t>
  </si>
  <si>
    <t>Par</t>
  </si>
  <si>
    <t>Pacote</t>
  </si>
  <si>
    <t>Barra</t>
  </si>
  <si>
    <t>Caixa</t>
  </si>
  <si>
    <t>Valor Total</t>
  </si>
  <si>
    <t>Valor Unitário</t>
  </si>
  <si>
    <t>Adoçante líquido, com Sacarina Sódica - frasco de 100 ml</t>
  </si>
  <si>
    <t>Esponja dupla face - unidade</t>
  </si>
  <si>
    <t>Copo Descartável para água, com capacidade para 200 ml - cento</t>
  </si>
  <si>
    <t>Especificações - Utensílios</t>
  </si>
  <si>
    <t>Quantidade Mínima</t>
  </si>
  <si>
    <t xml:space="preserve">Bebedouro elétrico </t>
  </si>
  <si>
    <t>Cafeteiraelétrica, naterial aço inox, aplicação industrial, capacidade de 4 litros</t>
  </si>
  <si>
    <t>Balde de plástico com capacidade de aprox. 20 litros</t>
  </si>
  <si>
    <t>Rodo de borracha com cabo</t>
  </si>
  <si>
    <t>Vassoura de pelo higiênica plastica com cabo</t>
  </si>
  <si>
    <t>Jarra de aço inoxidável - 2 litros</t>
  </si>
  <si>
    <t>Bandeja para servir rendonda de aço inoxidável - média</t>
  </si>
  <si>
    <t>Bandeja de mesa retangular de  aço inoxidável - média</t>
  </si>
  <si>
    <t>Porta-copo de aço inoxidável (base para copos) - unidade</t>
  </si>
  <si>
    <t>Colher de chá de aço inodiável</t>
  </si>
  <si>
    <t>Colher de café de aço inoxidável</t>
  </si>
  <si>
    <t>Xicara de café com pires de porcelana na cor branca (capacidade 80 ml)</t>
  </si>
  <si>
    <t>Copos de água de vidro transparente - 300 ml</t>
  </si>
  <si>
    <t>Escorredor de louca, em Aço inox, com capacidade mí8mina para 20 pratos</t>
  </si>
  <si>
    <t>Garrafa térnica de 1 litro</t>
  </si>
  <si>
    <t>Carrinho de serviços gerais tipo copa com 3 planos</t>
  </si>
  <si>
    <t>Superte Sipenser, com mecanismo regulador para liberação de uma unidade por vez, do tipo UNICOPO ou POUPA COPOS para copos de água de 200 ml</t>
  </si>
  <si>
    <t>Lixeira ou coletor com 2 tubos (PVC) para descarte copos de água de 200 mL. Latura mímina de 75 cm para cada tubo, com capacidade para 300 copos aproximadamente</t>
  </si>
  <si>
    <t>Valor uniário</t>
  </si>
  <si>
    <t>Forro para bandeja retangular</t>
  </si>
  <si>
    <t>Descrição</t>
  </si>
  <si>
    <t>Quantidade Anual</t>
  </si>
  <si>
    <t>Valor unitário</t>
  </si>
  <si>
    <t>Paletó Preto</t>
  </si>
  <si>
    <t>Camisa Social Branca</t>
  </si>
  <si>
    <t>Calça Social Preta</t>
  </si>
  <si>
    <t>Gravata Borboleta Preta</t>
  </si>
  <si>
    <t>Cinto Preto</t>
  </si>
  <si>
    <t>Par de Meias</t>
  </si>
  <si>
    <t>Par de Sapatos</t>
  </si>
  <si>
    <t>Valor Anual estimado</t>
  </si>
  <si>
    <t>Valor mensal estimado</t>
  </si>
  <si>
    <t>Bata Branca ou Azul</t>
  </si>
  <si>
    <t>Touca Branca</t>
  </si>
  <si>
    <t>Posto</t>
  </si>
  <si>
    <t>Efetivo</t>
  </si>
  <si>
    <t>Valor Mensal (R$)</t>
  </si>
  <si>
    <t>Valor Anual (R$)</t>
  </si>
  <si>
    <t>Garçom diurno</t>
  </si>
  <si>
    <t xml:space="preserve">Copeira </t>
  </si>
  <si>
    <t>VALOR TOTAL ANUAL</t>
  </si>
  <si>
    <t>PLANILHA CUSTO</t>
  </si>
  <si>
    <t>5134-05</t>
  </si>
  <si>
    <t>5134-25</t>
  </si>
  <si>
    <t>Auxílio-Refeição/Alimentação (22 * CCT clausula 16º)</t>
  </si>
  <si>
    <t>Assistência Médica e Familiar (CCT cláusula 18º)</t>
  </si>
  <si>
    <t>Assistência odontologica (CCT cláusula 19º)</t>
  </si>
  <si>
    <t>Avental inteiriço branco</t>
  </si>
  <si>
    <t>Avental de cintura meio corpo branco</t>
  </si>
  <si>
    <t>centro</t>
  </si>
  <si>
    <t>Garrafão</t>
  </si>
  <si>
    <t>Açucareiro de aço inox, com colher e tampa, capacidade de 200 ml a 330 ml.</t>
  </si>
  <si>
    <t>Bule de aço inox, para café, capacidade de 500 a 750 ml.</t>
  </si>
  <si>
    <t>Pá para lixo</t>
  </si>
  <si>
    <t>Luvas para lavagem de copos - 1 par</t>
  </si>
  <si>
    <t>Vida útil</t>
  </si>
  <si>
    <t>Depreciação mensal</t>
  </si>
  <si>
    <t>Depreciação anual</t>
  </si>
  <si>
    <t>Especificação – material de consumo</t>
  </si>
  <si>
    <t>VALOR 1</t>
  </si>
  <si>
    <t xml:space="preserve">VALOR 2 </t>
  </si>
  <si>
    <t xml:space="preserve">Valor 3 </t>
  </si>
  <si>
    <t>Média</t>
  </si>
  <si>
    <t>Link 1</t>
  </si>
  <si>
    <t>Link 2</t>
  </si>
  <si>
    <t>Link 3</t>
  </si>
  <si>
    <t>Paletó preto</t>
  </si>
  <si>
    <t>https://www.citerol.com.br/paleto-new-confort-preto-masculino-chevrolet-19010016-19010016/p</t>
  </si>
  <si>
    <t>https://www.lojauniformes.com.br/gastronomia/dolma/masculino/jaqueta-oxford-dm-esporte-fino?variant_id=1529</t>
  </si>
  <si>
    <t>https://www.lojauniformes.com.br/administrativos/blazer-masculino?variant_id=6396</t>
  </si>
  <si>
    <t>Camisas sociais brancas</t>
  </si>
  <si>
    <t>https://www.lojauniformes.com.br/administrativos/camisa-manga-longa</t>
  </si>
  <si>
    <t>https://www.lojauniformes.com.br/administrativos/camisete-manga-3-4</t>
  </si>
  <si>
    <t>https://www.lojauniformes.com.br/camisa-manga-longa-slim</t>
  </si>
  <si>
    <t>Calças sociais na cor preta</t>
  </si>
  <si>
    <t>https://www.lojauniformes.com.br/calca-oxford-dm-fem-12-elastico?variant_id=11605</t>
  </si>
  <si>
    <t>https://www.lojauniformes.com.br/administrativos/calca-social-masculina</t>
  </si>
  <si>
    <t>https://www.lojauniformes.com.br/calca-oxford-dm-masc-social-promocao?variant_id=19009</t>
  </si>
  <si>
    <t>Gravata borboleta preta</t>
  </si>
  <si>
    <t>https://www.mymoscomamor.com.br/produtos/gravata-borboleta-preto?parceiro=9259&amp;utm_source=google&amp;utm_medium=cpc_aquisicao_conversao_maxperformance_top_cores_julho_23&amp;utm_campaign=top_cores_julho_23&amp;gad_source=4&amp;gclid=CjwKCAjwvIWzBhAlEiwAHHWgverc0b2qbmh4P5h3o5-b2a4WdHc2qiQ-a8NknMhZO1wbTwf9KU9Q5hoCQxcQAvD_BwE</t>
  </si>
  <si>
    <t>https://www.rechiastore.com.br/produtos/gravata-borboleta-adulto-preta-textura-acetinada-ba-01022/?pf=gs&amp;variant=388939405&amp;utm_source=&amp;utm_medium=&amp;utm_campaign=&amp;utm_content=&amp;utm_term=&amp;gad_source=4&amp;gclid=CjwKCAjwvIWzBhAlEiwAHHWgvc1PQj07jBQ0W0pEwUZK-UXea-wFZeq0lWL3ZqoF3HAF0kcMt8NVchoC6okQAvD_BwE</t>
  </si>
  <si>
    <t>https://www.rechiastore.com.br/produtos/gravata-borboleta-adulto-fosca-lisa-preta-ba-05021/?pf=gs&amp;variant=389357399&amp;utm_source=&amp;utm_medium=&amp;utm_campaign=&amp;utm_content=&amp;utm_term=&amp;gad_source=4&amp;gclid=CjwKCAjwvIWzBhAlEiwAHHWgvTF9dWluskF4cuF_AOe9rJr7ZNr4HsMOFKl2xlobIw9qWIYMCByPMxoCr1kQAvD_BwE</t>
  </si>
  <si>
    <t>Cinto preto</t>
  </si>
  <si>
    <t>https://www.amazon.com.br/Cinto-Masculino-Couro-Social-%C3%9Anica/dp/B0BDGJLS62/ref=asc_df_B0BDGJLS62/?tag=googleshopp00-20&amp;linkCode=df0&amp;hvadid=647388279078&amp;hvpos=&amp;hvnetw=g&amp;hvrand=3406398447853084013&amp;hvpone=&amp;hvptwo=&amp;hvqmt=&amp;hvdev=c&amp;hvdvcmdl=&amp;hvlocint=&amp;hvlocphy=1001541&amp;hvtargid=pla-2201359500888&amp;psc=1&amp;mcid=485f70ca4f1c3dcdb1d12b4704e94579</t>
  </si>
  <si>
    <t>https://cintosjulioalmeida.com.br/produto/cinto-tatico-militar-nylon/?attribute_pa_cor-fivela=prata&amp;gad_source=4&amp;gclid=CjwKCAjwvIWzBhAlEiwAHHWgvSRngkllaBjTnNcZR0MoGry0siew6MugQKVK9czxHlRgfa4ithSVKBoC3_4QAvD_BwE</t>
  </si>
  <si>
    <t>https://julioalmeidastore.com.br/produtos/cinto-social-masculino-fivela-aco-inox/?variant=748870334&amp;pf=mc&amp;gad_source=4</t>
  </si>
  <si>
    <t>Pares de meias pretas</t>
  </si>
  <si>
    <t>https://www.botineiros.com/products/meia-preta</t>
  </si>
  <si>
    <t>https://www.asaartigosmilitares.com.br/quinzentenaconcentraco/meia-preta-social-phtml</t>
  </si>
  <si>
    <t>https://combateuniforme.com.br/loja/meia-preta/</t>
  </si>
  <si>
    <t>Par de sapatos pretos</t>
  </si>
  <si>
    <t>https://loja.amarracaouniformes.com.br/calcados/sapato-social-masculino</t>
  </si>
  <si>
    <t>https://www.grandfino.com.br/sapato-para-uniforme-preto-2</t>
  </si>
  <si>
    <t>https://www.fastepis.com.br/calcados/sapatos/sapato-de-seguranca-social-fechamento-em-elastico-preto-marluvas?parceiro=4267&amp;variant_id=5023&amp;srsltid=AfmBOoqslZFzS5kUiH7lt5S-rxzjM7BJBzs58PAG5cD4Cy9Rahz3GUjEVSQ</t>
  </si>
  <si>
    <t>Batas brancas ou azuis</t>
  </si>
  <si>
    <t>https://www.magazineluiza.com.br/bata-em-tecido-com-bolsos-laterais-branco-santa-clara/p/dg473kkej8/md/otmd/?seller_id=belezaeciaperfumaria&amp;srsltid=AfmBOoo9lHzyX8OGWJAisM2wRMED8tz76VC7cDObBvNCdCSW4z6l-T0Fe04</t>
  </si>
  <si>
    <t>https://www.akaicosmeticos.com.br/produto/41181-bata-em-tecido-santa-clara-com-bolsos-laterais-branco/</t>
  </si>
  <si>
    <t>https://www.circulodebeleza.com.br/bata-em-tecido-branco-santa-clara</t>
  </si>
  <si>
    <t>https://www.dashuniformes.com.br/produto/calca-masculina-social-vander-bs-outlet-9667?keyword=&amp;pht=42721576083508807&amp;utm_source=google&amp;utm_medium=cpc&amp;utm_term=&amp;utm_campaign=&amp;hsa_acc=3755907805&amp;hsa_cam=21281429194&amp;hsa_grp=&amp;hsa_ad=&amp;hsa_src=x&amp;hsa_tgt=&amp;hsa_kw=&amp;hsa_mt=&amp;hsa_net=adwords&amp;hsa_ver=3&amp;gad_source=4&amp;gclid=CjwKCAjwvIWzBhAlEiwAHHWgvYgTdCVEyE-f_GjjYUqgef8efOakKz2lJmXUOONRmirFCLfGJYHGIxoCHIIQAvD_BwE</t>
  </si>
  <si>
    <t>https://www.amazon.com.br/Masculina-B%C3%A1sica-Modelo-Premium-Tamanho/dp/B0CLVT2CMW/ref=asc_df_B0CLVT2CMW/?tag=googleshopp00-20&amp;linkCode=df0&amp;hvadid=680921059560&amp;hvpos=&amp;hvnetw=g&amp;hvrand=14427512763961397283&amp;hvpone=&amp;hvptwo=&amp;hvqmt=&amp;hvdev=c&amp;hvdvcmdl=&amp;hvlocint=&amp;hvlocphy=1001541&amp;hvtargid=pla-2274368092294&amp;psc=1&amp;mcid=1b5d09d9f81d34c6a952c4337955669e</t>
  </si>
  <si>
    <t>https://www.amazon.com.br/Cal%C3%A7a-Trabalho-Mec%C3%A2nico-Eletricista-A%C3%A7ogueiro/dp/B09X1VVVFT/ref=asc_df_B09X1VVVFT/?tag=googleshopp00-20&amp;linkCode=df0&amp;hvadid=658209647170&amp;hvpos=&amp;hvnetw=g&amp;hvrand=14427512763961397283&amp;hvpone=&amp;hvptwo=&amp;hvqmt=&amp;hvdev=c&amp;hvdvcmdl=&amp;hvlocint=&amp;hvlocphy=1001541&amp;hvtargid=pla-2199686057443&amp;psc=1&amp;mcid=9a73d6d3d61838dd8a8fccb6cfbb9c26</t>
  </si>
  <si>
    <t>Touca branca</t>
  </si>
  <si>
    <t>https://lojacentraldealimentos.com.br/index.php/catalog/product/view/id/2423/s/touca-tergal-branca-com-aba-lisa/?srsltid=AfmBOoo38EtRR4S_wW_rl-7DoRr-ATxtegNIU2asohLXdRTKRV7b8aVQlcI</t>
  </si>
  <si>
    <t>https://biripelembalagens.com.br/produto/touca-com-aba-branca</t>
  </si>
  <si>
    <t>https://www.vestilo.com.br/produto/touca-bandana-oxford/?attribute_pa_cor=branco</t>
  </si>
  <si>
    <t>Par de meias</t>
  </si>
  <si>
    <t>https://www.tedcamisas.com.br/avental-branco</t>
  </si>
  <si>
    <t>https://produto.mercadolivre.com.br/MLB-3629578613-avental-brim-leve-c-bolso-uniforme-restaurante-chef-branco-_JM?matt_tool=18956390&amp;utm_source=google_shopping&amp;utm_medium=organic</t>
  </si>
  <si>
    <t>https://www.extra.com.br/avental-emborrachado-impermeavel-branco-85x60-1561431175/p/1561431175?utm_medium=cpc&amp;utm_source=google_freelisting&amp;IdSku=1561431175&amp;idLojista=223156&amp;tipoLojista=3P</t>
  </si>
  <si>
    <t>https://www.magazineluiza.com.br/avental-oxford-meio-corpo-cintura-branco-visual-uniformes/p/gc5gkg5a8h/ud/aven/?seller_id=fgaparts&amp;srsltid=AfmBOoqBadWqA-0kIxGdKcKMrJgOsHp2xF21ufGEkmM77zDcHiqzuLi0qjo</t>
  </si>
  <si>
    <t>https://www.alastra.com.br/produtos/avental-cintura-oxford-com-bolso/?variant=821311749&amp;pf=mc</t>
  </si>
  <si>
    <t>https://www.magazineluiza.com.br/avental-de-cintura-meio-corpo-para-garcom-chef-bar-restaurante-arrazza-bordados/p/ea8gfb1bd1/ud/aven/?seller_id=arrazzab0rdad0s&amp;srsltid=AfmBOorM-DjSZf7cn6kDwVTT-JKq2sN4nVUgzw5-KT4OnEl5LkmTAHKDtUM</t>
  </si>
  <si>
    <t>Valor Unit. (R$) (Mão de obra + uniformes)</t>
  </si>
  <si>
    <t>Subtotal A (R$)</t>
  </si>
  <si>
    <t xml:space="preserve">Subtotal (R$) </t>
  </si>
  <si>
    <t>Edital 38-2023</t>
  </si>
  <si>
    <t>Não há uma perfeita correspondência entre todos os materiais de consumo e os utensílios</t>
  </si>
  <si>
    <t>Custos dos utensílios</t>
  </si>
  <si>
    <t>Custos dos materiais de consumo</t>
  </si>
  <si>
    <t>Relatório de Pesquisa de Preços (10854496)</t>
  </si>
  <si>
    <t xml:space="preserve">Material de consumo </t>
  </si>
  <si>
    <t>Valor detalhado do contrato (por itens) (conforme Relatório de Pesquisa de Preços (10854496)</t>
  </si>
  <si>
    <t>BDI Material de consumo (17,65%)</t>
  </si>
  <si>
    <t xml:space="preserve">Total (Material de consumo + BDI Material de consumo (17,65%)) </t>
  </si>
  <si>
    <t>BDI Utensílios (17,65%)</t>
  </si>
  <si>
    <t xml:space="preserve">Total (Utensílios + BDI Utensílios (17,65%)) </t>
  </si>
  <si>
    <t>Percentual de BDI (módulo 6 da planilha de custo e formação de preços) 17,65%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</si>
</sst>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8" formatCode="&quot;R$&quot;\ #,##0.00;[Red]\-&quot;R$&quot;\ #,##0.00"/>
    <numFmt numFmtId="44" formatCode="_-&quot;R$&quot;\ * #,##0.00_-;\-&quot;R$&quot;\ * #,##0.00_-;_-&quot;R$&quot;\ * &quot;-&quot;??_-;_-@_-"/>
    <numFmt numFmtId="43" formatCode="_-* #,##0.00_-;\-* #,##0.00_-;_-* &quot;-&quot;??_-;_-@_-"/>
    <numFmt numFmtId="164" formatCode="_(&quot;R$ &quot;* #,##0.00_);_(&quot;R$ &quot;* \(#,##0.00\);_(&quot;R$ &quot;* &quot;-&quot;??_);_(@_)"/>
    <numFmt numFmtId="165" formatCode="_-&quot;R$&quot;* #,##0.00_-;\-&quot;R$&quot;* #,##0.00_-;_-&quot;R$&quot;* &quot;-&quot;??_-;_-@_-"/>
    <numFmt numFmtId="166" formatCode="&quot;R$&quot;\ #,##0.00"/>
    <numFmt numFmtId="167" formatCode="#,##0.0000"/>
    <numFmt numFmtId="168" formatCode="_-[$R$-416]\ * #,##0.00_-;\-[$R$-416]\ * #,##0.00_-;_-[$R$-416]\ * &quot;-&quot;??_-;_-@_-"/>
  </numFmts>
  <fonts count="26"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sz val="11"/>
      <name val="Calibri"/>
      <family val="2"/>
      <scheme val="minor"/>
    </font>
    <font>
      <b/>
      <sz val="11"/>
      <name val="Calibri"/>
      <family val="2"/>
      <scheme val="minor"/>
    </font>
    <font>
      <shadow/>
      <sz val="11"/>
      <name val="Calibri"/>
      <family val="2"/>
      <scheme val="minor"/>
    </font>
    <font>
      <b/>
      <sz val="11"/>
      <color theme="0" tint="-0.249977111117893"/>
      <name val="Calibri"/>
      <family val="2"/>
      <scheme val="minor"/>
    </font>
    <font>
      <sz val="11"/>
      <color rgb="FF000000"/>
      <name val="Calibri"/>
      <family val="2"/>
      <scheme val="minor"/>
    </font>
    <font>
      <sz val="11"/>
      <color rgb="FF000000"/>
      <name val="Arial"/>
      <family val="2"/>
    </font>
    <font>
      <b/>
      <sz val="10"/>
      <name val="Arial"/>
      <family val="2"/>
    </font>
    <font>
      <b/>
      <sz val="11"/>
      <color rgb="FF000000"/>
      <name val="Calibri"/>
      <family val="2"/>
      <charset val="1"/>
    </font>
    <font>
      <b/>
      <sz val="9"/>
      <name val="Calibri"/>
      <family val="2"/>
      <charset val="1"/>
    </font>
    <font>
      <b/>
      <sz val="11"/>
      <name val="Calibri"/>
      <family val="2"/>
      <charset val="1"/>
    </font>
    <font>
      <b/>
      <sz val="18"/>
      <name val="Calibri"/>
      <family val="2"/>
      <scheme val="minor"/>
    </font>
    <font>
      <b/>
      <sz val="11"/>
      <color theme="1"/>
      <name val="Calibri"/>
      <family val="2"/>
      <scheme val="minor"/>
    </font>
    <font>
      <sz val="12"/>
      <name val="Arial"/>
      <family val="2"/>
    </font>
    <font>
      <b/>
      <sz val="12"/>
      <name val="Arial"/>
      <family val="2"/>
    </font>
    <font>
      <sz val="11"/>
      <name val="Arial"/>
      <family val="2"/>
    </font>
    <font>
      <b/>
      <sz val="12"/>
      <color rgb="FFFF0000"/>
      <name val="Arial"/>
      <family val="2"/>
    </font>
    <font>
      <b/>
      <sz val="12"/>
      <color rgb="FF000000"/>
      <name val="Times"/>
    </font>
    <font>
      <sz val="12"/>
      <color rgb="FF000000"/>
      <name val="Times"/>
    </font>
    <font>
      <b/>
      <sz val="12"/>
      <name val="Times New Roman"/>
      <family val="1"/>
    </font>
    <font>
      <sz val="12"/>
      <color rgb="FFFF0000"/>
      <name val="Arial"/>
      <family val="2"/>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D9D9"/>
        <bgColor rgb="FFDCDCDC"/>
      </patternFill>
    </fill>
    <fill>
      <patternFill patternType="solid">
        <fgColor theme="0" tint="-4.9989318521683403E-2"/>
        <bgColor rgb="FFF7F277"/>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2" tint="-9.9978637043366805E-2"/>
        <bgColor rgb="FFDCDCDC"/>
      </patternFill>
    </fill>
    <fill>
      <patternFill patternType="solid">
        <fgColor theme="6" tint="0.79998168889431442"/>
        <bgColor indexed="64"/>
      </patternFill>
    </fill>
    <fill>
      <patternFill patternType="solid">
        <fgColor theme="2" tint="-9.9978637043366805E-2"/>
        <bgColor rgb="FFF7F277"/>
      </patternFill>
    </fill>
  </fills>
  <borders count="4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medium">
        <color indexed="64"/>
      </right>
      <top style="medium">
        <color indexed="64"/>
      </top>
      <bottom style="thin">
        <color indexed="64"/>
      </bottom>
      <diagonal/>
    </border>
    <border>
      <left style="thin">
        <color indexed="64"/>
      </left>
      <right/>
      <top/>
      <bottom style="thin">
        <color indexed="64"/>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s>
  <cellStyleXfs count="14">
    <xf numFmtId="0" fontId="0" fillId="0" borderId="0"/>
    <xf numFmtId="164" fontId="4" fillId="0" borderId="0" applyFill="0" applyBorder="0" applyAlignment="0" applyProtection="0"/>
    <xf numFmtId="9" fontId="4" fillId="0" borderId="0" applyFill="0" applyBorder="0" applyAlignment="0" applyProtection="0"/>
    <xf numFmtId="0" fontId="4" fillId="0" borderId="0"/>
    <xf numFmtId="0" fontId="3" fillId="0" borderId="0"/>
    <xf numFmtId="43" fontId="4" fillId="0" borderId="0" applyFont="0" applyFill="0" applyBorder="0" applyAlignment="0" applyProtection="0"/>
    <xf numFmtId="43" fontId="4"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0" fontId="4" fillId="0" borderId="0"/>
    <xf numFmtId="9" fontId="2" fillId="0" borderId="0" applyFont="0" applyFill="0" applyBorder="0" applyAlignment="0" applyProtection="0"/>
    <xf numFmtId="0" fontId="1" fillId="0" borderId="0"/>
  </cellStyleXfs>
  <cellXfs count="308">
    <xf numFmtId="0" fontId="0" fillId="0" borderId="0" xfId="0"/>
    <xf numFmtId="43" fontId="0" fillId="0" borderId="0" xfId="0" applyNumberFormat="1"/>
    <xf numFmtId="164" fontId="4" fillId="0" borderId="0" xfId="1"/>
    <xf numFmtId="0" fontId="5" fillId="0" borderId="0" xfId="0" applyFont="1" applyAlignment="1">
      <alignment wrapText="1"/>
    </xf>
    <xf numFmtId="10" fontId="6" fillId="0" borderId="1" xfId="2" applyNumberFormat="1" applyFont="1" applyFill="1" applyBorder="1" applyAlignment="1" applyProtection="1">
      <alignment horizontal="center" vertical="center" wrapText="1"/>
    </xf>
    <xf numFmtId="10" fontId="6" fillId="0" borderId="1" xfId="0" applyNumberFormat="1" applyFont="1" applyBorder="1" applyAlignment="1">
      <alignment horizontal="center" vertical="center" wrapText="1"/>
    </xf>
    <xf numFmtId="10" fontId="6" fillId="0" borderId="1" xfId="2" applyNumberFormat="1" applyFont="1" applyFill="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1" xfId="0" applyFont="1" applyBorder="1" applyAlignment="1">
      <alignment vertical="center" wrapText="1"/>
    </xf>
    <xf numFmtId="43" fontId="9" fillId="3" borderId="27" xfId="6" applyFont="1" applyFill="1" applyBorder="1" applyAlignment="1">
      <alignment vertical="center" wrapText="1"/>
    </xf>
    <xf numFmtId="43" fontId="7" fillId="3" borderId="28" xfId="6" applyFont="1" applyFill="1" applyBorder="1" applyAlignment="1">
      <alignment vertical="center" wrapText="1"/>
    </xf>
    <xf numFmtId="0" fontId="7" fillId="0" borderId="0" xfId="0" applyFont="1" applyAlignment="1">
      <alignment vertical="center"/>
    </xf>
    <xf numFmtId="43" fontId="6" fillId="2" borderId="4" xfId="6" applyFont="1" applyFill="1" applyBorder="1" applyAlignment="1">
      <alignment horizontal="center" vertical="center" wrapText="1"/>
    </xf>
    <xf numFmtId="43" fontId="6" fillId="0" borderId="4" xfId="6" applyFont="1" applyFill="1" applyBorder="1" applyAlignment="1">
      <alignment horizontal="center" vertical="center" wrapText="1"/>
    </xf>
    <xf numFmtId="10" fontId="7" fillId="3" borderId="1" xfId="0" applyNumberFormat="1"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vertical="center" wrapText="1"/>
    </xf>
    <xf numFmtId="0" fontId="7" fillId="2" borderId="0" xfId="0" applyFont="1" applyFill="1" applyAlignment="1">
      <alignment horizontal="center" vertical="center" wrapText="1"/>
    </xf>
    <xf numFmtId="0" fontId="7" fillId="2" borderId="23" xfId="0" applyFont="1" applyFill="1" applyBorder="1" applyAlignment="1">
      <alignment horizontal="center" vertical="center" wrapText="1"/>
    </xf>
    <xf numFmtId="43" fontId="6" fillId="0" borderId="4" xfId="6" applyFont="1" applyFill="1" applyBorder="1" applyAlignment="1" applyProtection="1">
      <alignment horizontal="center" vertical="center"/>
    </xf>
    <xf numFmtId="8" fontId="6" fillId="2" borderId="15" xfId="0" applyNumberFormat="1" applyFont="1" applyFill="1" applyBorder="1" applyAlignment="1">
      <alignment horizontal="center" vertical="center" wrapText="1"/>
    </xf>
    <xf numFmtId="43" fontId="6" fillId="0" borderId="4" xfId="6" applyFont="1" applyFill="1" applyBorder="1" applyAlignment="1" applyProtection="1"/>
    <xf numFmtId="0" fontId="6" fillId="0" borderId="16" xfId="0" applyFont="1" applyBorder="1" applyAlignment="1">
      <alignment horizontal="center" vertical="center"/>
    </xf>
    <xf numFmtId="0" fontId="6" fillId="0" borderId="1" xfId="0" applyFont="1" applyBorder="1" applyAlignment="1">
      <alignment vertical="center"/>
    </xf>
    <xf numFmtId="8" fontId="6" fillId="2" borderId="1" xfId="0" applyNumberFormat="1" applyFont="1" applyFill="1" applyBorder="1" applyAlignment="1">
      <alignment horizontal="center" vertical="center" wrapText="1"/>
    </xf>
    <xf numFmtId="43" fontId="6" fillId="0" borderId="4" xfId="6" applyFont="1" applyFill="1" applyBorder="1" applyAlignment="1" applyProtection="1">
      <alignment horizontal="center" vertical="center"/>
      <protection locked="0"/>
    </xf>
    <xf numFmtId="43" fontId="6" fillId="0" borderId="4" xfId="6" applyFont="1" applyFill="1" applyBorder="1" applyAlignment="1" applyProtection="1">
      <alignment horizontal="center" vertical="center" wrapText="1"/>
    </xf>
    <xf numFmtId="43" fontId="6" fillId="0" borderId="4" xfId="6" applyFont="1" applyFill="1" applyBorder="1" applyAlignment="1" applyProtection="1">
      <alignment horizontal="center" vertical="center" wrapText="1"/>
      <protection locked="0"/>
    </xf>
    <xf numFmtId="0" fontId="6" fillId="0" borderId="12" xfId="0" applyFont="1" applyBorder="1" applyAlignment="1">
      <alignment horizontal="center" vertical="center"/>
    </xf>
    <xf numFmtId="43" fontId="7" fillId="2" borderId="23" xfId="6" applyFont="1" applyFill="1" applyBorder="1" applyAlignment="1">
      <alignment horizontal="center" vertical="center" wrapText="1"/>
    </xf>
    <xf numFmtId="0" fontId="10" fillId="0" borderId="1" xfId="0" applyFont="1" applyBorder="1"/>
    <xf numFmtId="0" fontId="6" fillId="0" borderId="9" xfId="0" applyFont="1" applyBorder="1" applyAlignment="1">
      <alignment vertical="center" wrapText="1"/>
    </xf>
    <xf numFmtId="10" fontId="7" fillId="3" borderId="18" xfId="0" applyNumberFormat="1" applyFont="1" applyFill="1" applyBorder="1" applyAlignment="1">
      <alignment horizontal="center" vertical="center" wrapText="1"/>
    </xf>
    <xf numFmtId="0" fontId="6" fillId="0" borderId="0" xfId="0" applyFont="1" applyAlignment="1">
      <alignment horizontal="center" vertical="center"/>
    </xf>
    <xf numFmtId="10" fontId="7" fillId="2" borderId="0" xfId="0" applyNumberFormat="1" applyFont="1" applyFill="1" applyAlignment="1">
      <alignment horizontal="center" vertical="center" wrapText="1"/>
    </xf>
    <xf numFmtId="43" fontId="7" fillId="2" borderId="0" xfId="6" applyFont="1" applyFill="1" applyBorder="1" applyAlignment="1">
      <alignment horizontal="center" vertical="center" wrapText="1"/>
    </xf>
    <xf numFmtId="164" fontId="7" fillId="3" borderId="1" xfId="1" applyFont="1" applyFill="1" applyBorder="1" applyAlignment="1">
      <alignment horizontal="center" vertical="center" wrapText="1"/>
    </xf>
    <xf numFmtId="164" fontId="7" fillId="3" borderId="4" xfId="1"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0" xfId="0" applyFont="1" applyAlignment="1">
      <alignment vertical="center" wrapText="1"/>
    </xf>
    <xf numFmtId="0" fontId="7" fillId="3" borderId="1" xfId="0" applyFont="1" applyFill="1" applyBorder="1" applyAlignment="1">
      <alignment vertical="center" wrapText="1"/>
    </xf>
    <xf numFmtId="43" fontId="6" fillId="0" borderId="1" xfId="6" applyFont="1" applyFill="1" applyBorder="1" applyAlignment="1">
      <alignment vertical="center" wrapText="1"/>
    </xf>
    <xf numFmtId="0" fontId="11" fillId="0" borderId="0" xfId="0" applyFont="1"/>
    <xf numFmtId="0" fontId="0" fillId="0" borderId="1" xfId="0" applyBorder="1"/>
    <xf numFmtId="164" fontId="7" fillId="2" borderId="0" xfId="1" applyFont="1" applyFill="1" applyBorder="1" applyAlignment="1">
      <alignment horizontal="center" vertical="center" wrapText="1"/>
    </xf>
    <xf numFmtId="0" fontId="0" fillId="2" borderId="0" xfId="0" applyFill="1"/>
    <xf numFmtId="0" fontId="0" fillId="0" borderId="0" xfId="0" applyAlignment="1">
      <alignment horizontal="left"/>
    </xf>
    <xf numFmtId="0" fontId="6" fillId="2" borderId="0" xfId="0" applyFont="1" applyFill="1" applyAlignment="1">
      <alignment horizontal="center" vertical="center"/>
    </xf>
    <xf numFmtId="0" fontId="6" fillId="0" borderId="20" xfId="0" applyFont="1" applyBorder="1" applyAlignment="1">
      <alignment horizontal="center" vertical="center" wrapText="1"/>
    </xf>
    <xf numFmtId="0" fontId="6" fillId="0" borderId="21" xfId="0" applyFont="1" applyBorder="1" applyAlignment="1">
      <alignment vertical="center" wrapText="1"/>
    </xf>
    <xf numFmtId="10" fontId="6" fillId="4" borderId="1" xfId="0" applyNumberFormat="1" applyFont="1" applyFill="1" applyBorder="1" applyAlignment="1">
      <alignment horizontal="center" vertical="center" wrapText="1"/>
    </xf>
    <xf numFmtId="43" fontId="6" fillId="4" borderId="4" xfId="6" applyFont="1" applyFill="1" applyBorder="1" applyAlignment="1" applyProtection="1">
      <alignment horizontal="center" vertical="center"/>
    </xf>
    <xf numFmtId="0" fontId="0" fillId="0" borderId="21" xfId="0" applyBorder="1"/>
    <xf numFmtId="165" fontId="6" fillId="0" borderId="31" xfId="1" applyNumberFormat="1" applyFont="1" applyFill="1" applyBorder="1" applyAlignment="1">
      <alignment horizontal="center" vertical="center" wrapText="1"/>
    </xf>
    <xf numFmtId="165" fontId="6" fillId="0" borderId="32" xfId="1" applyNumberFormat="1"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6" fillId="0" borderId="16" xfId="0" applyFont="1" applyBorder="1" applyAlignment="1">
      <alignment horizontal="center" vertical="center" wrapText="1"/>
    </xf>
    <xf numFmtId="0" fontId="7" fillId="3" borderId="4" xfId="0" applyFont="1" applyFill="1" applyBorder="1" applyAlignment="1">
      <alignment horizontal="center" vertical="center" wrapText="1"/>
    </xf>
    <xf numFmtId="0" fontId="7" fillId="3" borderId="24" xfId="0" applyFont="1" applyFill="1" applyBorder="1" applyAlignment="1">
      <alignment horizontal="center" vertical="center" wrapText="1"/>
    </xf>
    <xf numFmtId="43" fontId="7" fillId="3" borderId="19" xfId="6" applyFont="1" applyFill="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43" fontId="7" fillId="3" borderId="4" xfId="6" applyFont="1" applyFill="1" applyBorder="1" applyAlignment="1">
      <alignment horizontal="center" vertical="center" wrapText="1"/>
    </xf>
    <xf numFmtId="0" fontId="6" fillId="0" borderId="1" xfId="0" applyFont="1" applyBorder="1" applyAlignment="1">
      <alignment horizontal="center" vertical="center" wrapText="1"/>
    </xf>
    <xf numFmtId="0" fontId="7" fillId="3" borderId="11" xfId="0" applyFont="1" applyFill="1" applyBorder="1" applyAlignment="1">
      <alignment vertical="center" wrapText="1"/>
    </xf>
    <xf numFmtId="0" fontId="7" fillId="3" borderId="5" xfId="0" applyFont="1" applyFill="1" applyBorder="1" applyAlignment="1">
      <alignment vertical="center" wrapText="1"/>
    </xf>
    <xf numFmtId="43" fontId="7" fillId="3" borderId="5" xfId="0" applyNumberFormat="1" applyFont="1" applyFill="1" applyBorder="1" applyAlignment="1">
      <alignment vertical="center" wrapText="1"/>
    </xf>
    <xf numFmtId="0" fontId="6" fillId="0" borderId="5" xfId="0" applyFont="1" applyBorder="1" applyAlignment="1">
      <alignment vertical="center" wrapText="1"/>
    </xf>
    <xf numFmtId="0" fontId="7" fillId="0" borderId="0" xfId="0" applyFont="1" applyAlignment="1">
      <alignment horizontal="left" vertical="center" wrapText="1"/>
    </xf>
    <xf numFmtId="0" fontId="7" fillId="3" borderId="0" xfId="0" applyFont="1" applyFill="1" applyAlignment="1">
      <alignment horizontal="center"/>
    </xf>
    <xf numFmtId="0" fontId="7" fillId="3" borderId="0" xfId="0" applyFont="1" applyFill="1" applyAlignment="1">
      <alignment horizontal="center" vertical="center" wrapText="1"/>
    </xf>
    <xf numFmtId="0" fontId="5" fillId="0" borderId="0" xfId="0" applyFont="1"/>
    <xf numFmtId="0" fontId="5" fillId="0" borderId="0" xfId="0" applyFont="1" applyAlignment="1">
      <alignment horizontal="center" wrapText="1"/>
    </xf>
    <xf numFmtId="43" fontId="5" fillId="0" borderId="0" xfId="0" applyNumberFormat="1" applyFont="1"/>
    <xf numFmtId="0" fontId="0" fillId="0" borderId="0" xfId="0" applyAlignment="1">
      <alignment wrapText="1"/>
    </xf>
    <xf numFmtId="0" fontId="0" fillId="0" borderId="1" xfId="0" applyBorder="1" applyAlignment="1">
      <alignment horizontal="center"/>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64" fontId="4" fillId="0" borderId="1" xfId="1" applyBorder="1"/>
    <xf numFmtId="164" fontId="12" fillId="0" borderId="1" xfId="0" applyNumberFormat="1" applyFont="1" applyBorder="1"/>
    <xf numFmtId="164" fontId="4" fillId="0" borderId="0" xfId="1" applyFill="1"/>
    <xf numFmtId="0" fontId="14" fillId="6" borderId="2"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4" xfId="0" applyFont="1" applyFill="1" applyBorder="1" applyAlignment="1">
      <alignment horizontal="center" vertical="center" wrapText="1"/>
    </xf>
    <xf numFmtId="4" fontId="13" fillId="0" borderId="35" xfId="0" applyNumberFormat="1" applyFont="1" applyBorder="1" applyAlignment="1">
      <alignment horizontal="center" wrapText="1"/>
    </xf>
    <xf numFmtId="0" fontId="5" fillId="0" borderId="0" xfId="0" applyFont="1" applyAlignment="1">
      <alignment horizontal="center"/>
    </xf>
    <xf numFmtId="0" fontId="6" fillId="3" borderId="6" xfId="0" applyFont="1" applyFill="1" applyBorder="1" applyAlignment="1">
      <alignment horizontal="left" vertical="center" wrapText="1"/>
    </xf>
    <xf numFmtId="0" fontId="18" fillId="0" borderId="1" xfId="0" applyFont="1" applyBorder="1" applyAlignment="1">
      <alignment horizontal="center"/>
    </xf>
    <xf numFmtId="0" fontId="18" fillId="0" borderId="10" xfId="0" applyFont="1" applyBorder="1" applyAlignment="1">
      <alignment vertical="center" wrapText="1"/>
    </xf>
    <xf numFmtId="0" fontId="18" fillId="0" borderId="1" xfId="0" applyFont="1" applyBorder="1" applyAlignment="1">
      <alignment horizontal="center" wrapText="1"/>
    </xf>
    <xf numFmtId="0" fontId="18" fillId="0" borderId="1"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 xfId="0" applyFont="1" applyBorder="1" applyAlignment="1">
      <alignment wrapText="1"/>
    </xf>
    <xf numFmtId="0" fontId="19" fillId="5" borderId="1" xfId="0" applyFont="1" applyFill="1" applyBorder="1" applyAlignment="1">
      <alignment horizontal="center" vertical="center" wrapText="1"/>
    </xf>
    <xf numFmtId="0" fontId="20" fillId="0" borderId="1" xfId="0" applyFont="1" applyBorder="1" applyAlignment="1">
      <alignment horizontal="center" wrapText="1"/>
    </xf>
    <xf numFmtId="166" fontId="20" fillId="0" borderId="1" xfId="1" applyNumberFormat="1" applyFont="1" applyBorder="1" applyAlignment="1">
      <alignment horizontal="center" vertical="center" wrapText="1"/>
    </xf>
    <xf numFmtId="166" fontId="20" fillId="0" borderId="1" xfId="1" applyNumberFormat="1" applyFont="1" applyFill="1" applyBorder="1" applyAlignment="1">
      <alignment horizontal="center" vertical="center" wrapText="1"/>
    </xf>
    <xf numFmtId="166" fontId="20" fillId="0" borderId="9" xfId="1" applyNumberFormat="1" applyFont="1" applyBorder="1" applyAlignment="1">
      <alignment horizontal="center" vertical="center" wrapText="1"/>
    </xf>
    <xf numFmtId="166" fontId="20" fillId="0" borderId="1" xfId="0" applyNumberFormat="1" applyFont="1" applyBorder="1" applyAlignment="1">
      <alignment horizontal="center" vertical="center" wrapText="1"/>
    </xf>
    <xf numFmtId="167" fontId="0" fillId="0" borderId="0" xfId="0" applyNumberFormat="1"/>
    <xf numFmtId="0" fontId="22" fillId="0" borderId="39" xfId="13" applyFont="1" applyBorder="1" applyAlignment="1">
      <alignment horizontal="center" vertical="center"/>
    </xf>
    <xf numFmtId="0" fontId="17" fillId="0" borderId="1" xfId="13" applyFont="1" applyBorder="1" applyAlignment="1">
      <alignment horizontal="center"/>
    </xf>
    <xf numFmtId="0" fontId="1" fillId="0" borderId="0" xfId="13"/>
    <xf numFmtId="0" fontId="23" fillId="0" borderId="39" xfId="13" applyFont="1" applyBorder="1" applyAlignment="1">
      <alignment horizontal="center" vertical="center"/>
    </xf>
    <xf numFmtId="168" fontId="1" fillId="0" borderId="1" xfId="13" applyNumberFormat="1" applyBorder="1"/>
    <xf numFmtId="0" fontId="1" fillId="0" borderId="1" xfId="13" applyBorder="1" applyAlignment="1">
      <alignment wrapText="1"/>
    </xf>
    <xf numFmtId="0" fontId="1" fillId="0" borderId="0" xfId="13" applyAlignment="1">
      <alignment wrapText="1"/>
    </xf>
    <xf numFmtId="168" fontId="1" fillId="0" borderId="0" xfId="13" applyNumberFormat="1" applyAlignment="1">
      <alignment wrapText="1"/>
    </xf>
    <xf numFmtId="168" fontId="1" fillId="0" borderId="1" xfId="13" applyNumberFormat="1" applyBorder="1" applyAlignment="1">
      <alignment wrapText="1"/>
    </xf>
    <xf numFmtId="0" fontId="7" fillId="0" borderId="6" xfId="0" applyFont="1" applyBorder="1" applyAlignment="1">
      <alignment horizontal="center" vertical="center"/>
    </xf>
    <xf numFmtId="0" fontId="7" fillId="0" borderId="42" xfId="0" applyFont="1" applyBorder="1" applyAlignment="1">
      <alignment horizontal="center" vertical="center"/>
    </xf>
    <xf numFmtId="0" fontId="7" fillId="0" borderId="7" xfId="0" applyFont="1" applyBorder="1" applyAlignment="1">
      <alignment horizontal="center" vertical="center"/>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42" xfId="0" applyFont="1" applyBorder="1" applyAlignment="1">
      <alignment horizontal="center" vertical="center" wrapText="1"/>
    </xf>
    <xf numFmtId="0" fontId="6" fillId="3" borderId="42" xfId="0" applyFont="1" applyFill="1" applyBorder="1" applyAlignment="1">
      <alignment horizontal="left" vertical="center" wrapText="1"/>
    </xf>
    <xf numFmtId="0" fontId="7" fillId="3" borderId="4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42" xfId="0" applyFont="1" applyFill="1" applyBorder="1" applyAlignment="1">
      <alignment horizontal="center" vertical="center" wrapText="1"/>
    </xf>
    <xf numFmtId="166" fontId="13" fillId="9" borderId="18" xfId="0" applyNumberFormat="1" applyFont="1" applyFill="1" applyBorder="1" applyAlignment="1">
      <alignment horizontal="center" vertical="center" wrapText="1"/>
    </xf>
    <xf numFmtId="166" fontId="13" fillId="9" borderId="36" xfId="0" applyNumberFormat="1" applyFont="1" applyFill="1" applyBorder="1" applyAlignment="1">
      <alignment horizontal="center" vertical="center" wrapText="1"/>
    </xf>
    <xf numFmtId="0" fontId="14" fillId="10" borderId="15" xfId="0" applyFont="1" applyFill="1" applyBorder="1" applyAlignment="1">
      <alignment horizontal="center" vertical="center" wrapText="1"/>
    </xf>
    <xf numFmtId="0" fontId="14" fillId="10" borderId="33" xfId="0" applyFont="1" applyFill="1" applyBorder="1" applyAlignment="1">
      <alignment horizontal="center" vertical="center" wrapText="1"/>
    </xf>
    <xf numFmtId="166" fontId="20" fillId="11" borderId="1" xfId="1" applyNumberFormat="1" applyFont="1" applyFill="1" applyBorder="1" applyAlignment="1">
      <alignment horizontal="center" vertical="center" wrapText="1"/>
    </xf>
    <xf numFmtId="0" fontId="0" fillId="4" borderId="7" xfId="0" applyFill="1" applyBorder="1" applyAlignment="1">
      <alignment horizontal="center" vertical="center"/>
    </xf>
    <xf numFmtId="0" fontId="0" fillId="4" borderId="6" xfId="0" applyFill="1" applyBorder="1" applyAlignment="1">
      <alignment horizontal="center" vertical="center"/>
    </xf>
    <xf numFmtId="0" fontId="0" fillId="4" borderId="42" xfId="0" applyFill="1" applyBorder="1" applyAlignment="1">
      <alignment horizontal="center" vertical="center"/>
    </xf>
    <xf numFmtId="0" fontId="19" fillId="0" borderId="0" xfId="0" applyFont="1" applyAlignment="1">
      <alignment horizontal="center" vertical="center" wrapText="1"/>
    </xf>
    <xf numFmtId="166" fontId="20" fillId="0" borderId="21" xfId="1" applyNumberFormat="1" applyFont="1" applyBorder="1" applyAlignment="1">
      <alignment horizontal="center" vertical="center" wrapText="1"/>
    </xf>
    <xf numFmtId="166" fontId="21" fillId="4" borderId="46" xfId="0" applyNumberFormat="1" applyFont="1" applyFill="1" applyBorder="1" applyAlignment="1">
      <alignment horizontal="center" wrapText="1"/>
    </xf>
    <xf numFmtId="166" fontId="20" fillId="0" borderId="31" xfId="1" applyNumberFormat="1" applyFont="1" applyBorder="1" applyAlignment="1">
      <alignment horizontal="center" vertical="center" wrapText="1"/>
    </xf>
    <xf numFmtId="166" fontId="20" fillId="0" borderId="21" xfId="0" applyNumberFormat="1" applyFont="1" applyBorder="1" applyAlignment="1">
      <alignment horizontal="center" vertical="center" wrapText="1"/>
    </xf>
    <xf numFmtId="166" fontId="25" fillId="4" borderId="46" xfId="0" applyNumberFormat="1" applyFont="1" applyFill="1" applyBorder="1" applyAlignment="1">
      <alignment horizontal="center" vertical="center" wrapText="1"/>
    </xf>
    <xf numFmtId="166" fontId="25" fillId="4" borderId="47" xfId="0" applyNumberFormat="1" applyFont="1" applyFill="1" applyBorder="1" applyAlignment="1">
      <alignment horizontal="center" vertical="center" wrapText="1"/>
    </xf>
    <xf numFmtId="166" fontId="21" fillId="0" borderId="0" xfId="0" applyNumberFormat="1" applyFont="1" applyAlignment="1">
      <alignment horizontal="center" vertical="center" wrapText="1"/>
    </xf>
    <xf numFmtId="166" fontId="25" fillId="4" borderId="46" xfId="0" applyNumberFormat="1" applyFont="1" applyFill="1" applyBorder="1" applyAlignment="1">
      <alignment horizontal="center" wrapText="1"/>
    </xf>
    <xf numFmtId="166" fontId="25" fillId="4" borderId="42" xfId="0" applyNumberFormat="1" applyFont="1" applyFill="1" applyBorder="1" applyAlignment="1">
      <alignment horizontal="center" vertical="center" wrapText="1"/>
    </xf>
    <xf numFmtId="0" fontId="20" fillId="0" borderId="1" xfId="0" applyFont="1" applyBorder="1" applyAlignment="1">
      <alignment horizontal="center" vertical="center" wrapText="1"/>
    </xf>
    <xf numFmtId="0" fontId="18" fillId="0" borderId="15" xfId="0" applyFont="1" applyBorder="1" applyAlignment="1">
      <alignment horizontal="center" vertical="center"/>
    </xf>
    <xf numFmtId="0" fontId="18" fillId="0" borderId="1" xfId="0" applyFont="1" applyBorder="1" applyAlignment="1">
      <alignment vertical="center" wrapText="1"/>
    </xf>
    <xf numFmtId="0" fontId="5" fillId="0" borderId="0" xfId="0" applyFont="1" applyAlignment="1">
      <alignment vertical="center"/>
    </xf>
    <xf numFmtId="0" fontId="0" fillId="0" borderId="16" xfId="0" applyBorder="1" applyAlignment="1">
      <alignment horizontal="center" wrapText="1"/>
    </xf>
    <xf numFmtId="166" fontId="0" fillId="0" borderId="1" xfId="0" applyNumberFormat="1" applyBorder="1" applyAlignment="1">
      <alignment horizontal="center" wrapText="1"/>
    </xf>
    <xf numFmtId="166" fontId="0" fillId="0" borderId="4" xfId="0" applyNumberFormat="1" applyBorder="1" applyAlignment="1">
      <alignment horizontal="center" wrapText="1"/>
    </xf>
    <xf numFmtId="166" fontId="13" fillId="0" borderId="1" xfId="0" applyNumberFormat="1" applyFont="1" applyBorder="1" applyAlignment="1">
      <alignment horizontal="center" wrapText="1"/>
    </xf>
    <xf numFmtId="166" fontId="13" fillId="0" borderId="4" xfId="0" applyNumberFormat="1" applyFont="1" applyBorder="1" applyAlignment="1">
      <alignment horizontal="center" wrapText="1"/>
    </xf>
    <xf numFmtId="0" fontId="0" fillId="0" borderId="16" xfId="0" applyBorder="1" applyAlignment="1">
      <alignment horizontal="center" vertical="center" wrapText="1"/>
    </xf>
    <xf numFmtId="166" fontId="0" fillId="0" borderId="1" xfId="0" applyNumberFormat="1" applyBorder="1" applyAlignment="1">
      <alignment horizontal="center" vertical="center" wrapText="1"/>
    </xf>
    <xf numFmtId="166" fontId="0" fillId="0" borderId="4" xfId="0" applyNumberFormat="1" applyBorder="1" applyAlignment="1">
      <alignment horizontal="center" vertical="center" wrapText="1"/>
    </xf>
    <xf numFmtId="166" fontId="13" fillId="0" borderId="1" xfId="0" applyNumberFormat="1" applyFont="1" applyBorder="1" applyAlignment="1">
      <alignment horizontal="center" vertical="center" wrapText="1"/>
    </xf>
    <xf numFmtId="166" fontId="13" fillId="0" borderId="4" xfId="0" applyNumberFormat="1" applyFont="1" applyBorder="1" applyAlignment="1">
      <alignment horizontal="center" vertical="center" wrapText="1"/>
    </xf>
    <xf numFmtId="166" fontId="0" fillId="7" borderId="1" xfId="0" applyNumberFormat="1" applyFill="1" applyBorder="1" applyAlignment="1">
      <alignment horizontal="center" wrapText="1"/>
    </xf>
    <xf numFmtId="166" fontId="0" fillId="8" borderId="4" xfId="0" applyNumberFormat="1" applyFill="1" applyBorder="1" applyAlignment="1">
      <alignment horizontal="center" wrapText="1"/>
    </xf>
    <xf numFmtId="166" fontId="13" fillId="0" borderId="19" xfId="0" applyNumberFormat="1" applyFont="1" applyBorder="1" applyAlignment="1">
      <alignment horizontal="center" wrapText="1"/>
    </xf>
    <xf numFmtId="166" fontId="5" fillId="0" borderId="0" xfId="0" applyNumberFormat="1" applyFont="1"/>
    <xf numFmtId="166" fontId="0" fillId="9" borderId="21" xfId="0" applyNumberFormat="1" applyFill="1" applyBorder="1" applyAlignment="1">
      <alignment horizontal="center" wrapText="1"/>
    </xf>
    <xf numFmtId="166" fontId="0" fillId="12" borderId="1" xfId="0" applyNumberFormat="1" applyFill="1" applyBorder="1" applyAlignment="1">
      <alignment horizontal="center" wrapText="1"/>
    </xf>
    <xf numFmtId="166" fontId="13" fillId="9" borderId="19" xfId="0" applyNumberFormat="1" applyFont="1" applyFill="1" applyBorder="1" applyAlignment="1">
      <alignment horizontal="center" wrapText="1"/>
    </xf>
    <xf numFmtId="166" fontId="0" fillId="0" borderId="0" xfId="0" applyNumberFormat="1"/>
    <xf numFmtId="0" fontId="0" fillId="0" borderId="16" xfId="0" applyBorder="1" applyAlignment="1">
      <alignment horizontal="center" wrapText="1"/>
    </xf>
    <xf numFmtId="0" fontId="13" fillId="0" borderId="17" xfId="0" applyFont="1" applyBorder="1" applyAlignment="1">
      <alignment horizontal="center" wrapText="1"/>
    </xf>
    <xf numFmtId="0" fontId="13" fillId="0" borderId="34" xfId="0" applyFont="1" applyBorder="1" applyAlignment="1">
      <alignment horizontal="center" wrapText="1"/>
    </xf>
    <xf numFmtId="0" fontId="0" fillId="4" borderId="7" xfId="0" applyFill="1" applyBorder="1" applyAlignment="1">
      <alignment horizontal="center" vertical="center"/>
    </xf>
    <xf numFmtId="0" fontId="0" fillId="4" borderId="6" xfId="0" applyFill="1" applyBorder="1" applyAlignment="1">
      <alignment horizontal="center" vertical="center"/>
    </xf>
    <xf numFmtId="0" fontId="0" fillId="4" borderId="42" xfId="0" applyFill="1" applyBorder="1" applyAlignment="1">
      <alignment horizontal="center" vertical="center"/>
    </xf>
    <xf numFmtId="0" fontId="14" fillId="6" borderId="14" xfId="0" applyFont="1" applyFill="1" applyBorder="1" applyAlignment="1">
      <alignment horizontal="center" vertical="center" wrapText="1"/>
    </xf>
    <xf numFmtId="0" fontId="0" fillId="0" borderId="1" xfId="0" applyBorder="1" applyAlignment="1">
      <alignment horizontal="center" vertical="center" wrapText="1"/>
    </xf>
    <xf numFmtId="0" fontId="13" fillId="0" borderId="16" xfId="0" applyFont="1" applyBorder="1" applyAlignment="1">
      <alignment horizontal="center" vertical="center" wrapText="1"/>
    </xf>
    <xf numFmtId="0" fontId="15" fillId="6" borderId="16" xfId="0" applyFont="1" applyFill="1" applyBorder="1" applyAlignment="1">
      <alignment horizontal="center" vertical="center" wrapText="1"/>
    </xf>
    <xf numFmtId="0" fontId="0" fillId="4" borderId="7" xfId="0" applyFill="1" applyBorder="1" applyAlignment="1">
      <alignment horizontal="center"/>
    </xf>
    <xf numFmtId="0" fontId="0" fillId="4" borderId="6" xfId="0" applyFill="1" applyBorder="1" applyAlignment="1">
      <alignment horizontal="center"/>
    </xf>
    <xf numFmtId="0" fontId="0" fillId="4" borderId="42" xfId="0" applyFill="1" applyBorder="1" applyAlignment="1">
      <alignment horizontal="center"/>
    </xf>
    <xf numFmtId="0" fontId="0" fillId="0" borderId="7" xfId="0" applyBorder="1" applyAlignment="1">
      <alignment horizontal="center"/>
    </xf>
    <xf numFmtId="0" fontId="0" fillId="0" borderId="6" xfId="0" applyBorder="1" applyAlignment="1">
      <alignment horizontal="center"/>
    </xf>
    <xf numFmtId="0" fontId="0" fillId="0" borderId="42" xfId="0" applyBorder="1" applyAlignment="1">
      <alignment horizontal="center"/>
    </xf>
    <xf numFmtId="0" fontId="13" fillId="0" borderId="16" xfId="0" applyFont="1" applyBorder="1" applyAlignment="1">
      <alignment horizontal="center" wrapText="1"/>
    </xf>
    <xf numFmtId="0" fontId="0" fillId="0" borderId="1" xfId="0" applyBorder="1" applyAlignment="1">
      <alignment horizontal="center" vertical="top" wrapText="1"/>
    </xf>
    <xf numFmtId="0" fontId="0" fillId="0" borderId="1" xfId="0" applyBorder="1" applyAlignment="1">
      <alignment horizontal="center" wrapText="1"/>
    </xf>
    <xf numFmtId="0" fontId="6" fillId="0" borderId="29"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24" xfId="0" applyFont="1" applyBorder="1" applyAlignment="1">
      <alignment horizontal="center" vertical="center" wrapText="1"/>
    </xf>
    <xf numFmtId="166" fontId="4" fillId="0" borderId="11" xfId="1" applyNumberFormat="1" applyFill="1" applyBorder="1" applyAlignment="1">
      <alignment horizontal="center" vertical="center" wrapText="1"/>
    </xf>
    <xf numFmtId="166" fontId="4" fillId="0" borderId="24" xfId="1" applyNumberFormat="1" applyFill="1" applyBorder="1" applyAlignment="1">
      <alignment horizontal="center" vertical="center" wrapText="1"/>
    </xf>
    <xf numFmtId="16" fontId="6" fillId="0" borderId="25" xfId="0" applyNumberFormat="1" applyFont="1" applyBorder="1" applyAlignment="1">
      <alignment horizontal="center" vertical="center" wrapText="1"/>
    </xf>
    <xf numFmtId="16" fontId="6" fillId="0" borderId="28" xfId="0" applyNumberFormat="1" applyFont="1" applyBorder="1" applyAlignment="1">
      <alignment horizontal="center" vertical="center" wrapText="1"/>
    </xf>
    <xf numFmtId="166" fontId="6" fillId="0" borderId="11" xfId="0" applyNumberFormat="1" applyFont="1" applyBorder="1" applyAlignment="1">
      <alignment horizontal="center" vertical="center" wrapText="1"/>
    </xf>
    <xf numFmtId="166" fontId="6" fillId="0" borderId="24" xfId="0" applyNumberFormat="1" applyFont="1" applyBorder="1" applyAlignment="1">
      <alignment horizontal="center" vertical="center" wrapText="1"/>
    </xf>
    <xf numFmtId="43" fontId="7" fillId="3" borderId="1" xfId="6" applyFont="1" applyFill="1" applyBorder="1" applyAlignment="1">
      <alignment horizontal="center" vertical="center" wrapText="1"/>
    </xf>
    <xf numFmtId="43" fontId="7" fillId="3" borderId="4" xfId="6" applyFont="1" applyFill="1" applyBorder="1" applyAlignment="1">
      <alignment horizontal="center" vertical="center" wrapText="1"/>
    </xf>
    <xf numFmtId="166" fontId="6" fillId="0" borderId="1" xfId="0" applyNumberFormat="1" applyFont="1" applyBorder="1" applyAlignment="1">
      <alignment horizontal="center" vertical="center" wrapText="1"/>
    </xf>
    <xf numFmtId="166" fontId="6" fillId="0" borderId="4" xfId="0" applyNumberFormat="1" applyFont="1" applyBorder="1" applyAlignment="1">
      <alignment horizontal="center" vertical="center" wrapText="1"/>
    </xf>
    <xf numFmtId="166" fontId="6" fillId="0" borderId="1" xfId="0" applyNumberFormat="1" applyFont="1" applyBorder="1" applyAlignment="1">
      <alignment horizontal="right" vertical="center" wrapText="1"/>
    </xf>
    <xf numFmtId="166" fontId="6" fillId="0" borderId="4" xfId="0" applyNumberFormat="1" applyFont="1" applyBorder="1" applyAlignment="1">
      <alignment horizontal="right" vertical="center" wrapText="1"/>
    </xf>
    <xf numFmtId="166" fontId="7" fillId="3" borderId="18" xfId="6" applyNumberFormat="1" applyFont="1" applyFill="1" applyBorder="1" applyAlignment="1">
      <alignment horizontal="center" vertical="center" wrapText="1"/>
    </xf>
    <xf numFmtId="166" fontId="7" fillId="3" borderId="19" xfId="6" applyNumberFormat="1" applyFont="1" applyFill="1" applyBorder="1" applyAlignment="1">
      <alignment horizontal="center" vertical="center" wrapText="1"/>
    </xf>
    <xf numFmtId="0" fontId="7" fillId="3" borderId="15" xfId="0" applyFont="1" applyFill="1" applyBorder="1" applyAlignment="1">
      <alignment horizontal="center" vertical="center" wrapText="1"/>
    </xf>
    <xf numFmtId="0" fontId="7" fillId="3" borderId="33" xfId="0" applyFont="1" applyFill="1" applyBorder="1" applyAlignment="1">
      <alignment horizontal="center" vertical="center" wrapText="1"/>
    </xf>
    <xf numFmtId="43" fontId="6" fillId="0" borderId="1" xfId="0" applyNumberFormat="1" applyFont="1" applyBorder="1" applyAlignment="1">
      <alignment horizontal="center" vertical="center" wrapText="1"/>
    </xf>
    <xf numFmtId="0" fontId="6" fillId="0" borderId="4" xfId="0" applyFont="1" applyBorder="1" applyAlignment="1">
      <alignment horizontal="center" vertical="center" wrapText="1"/>
    </xf>
    <xf numFmtId="165" fontId="6" fillId="0" borderId="1" xfId="1" applyNumberFormat="1" applyFont="1" applyFill="1" applyBorder="1" applyAlignment="1">
      <alignment horizontal="center" vertical="center" wrapText="1"/>
    </xf>
    <xf numFmtId="165" fontId="6" fillId="0" borderId="4" xfId="1" applyNumberFormat="1" applyFont="1" applyFill="1" applyBorder="1" applyAlignment="1">
      <alignment horizontal="center" vertical="center" wrapText="1"/>
    </xf>
    <xf numFmtId="165" fontId="6" fillId="0" borderId="9" xfId="1" applyNumberFormat="1" applyFont="1" applyFill="1" applyBorder="1" applyAlignment="1">
      <alignment horizontal="center" vertical="center" wrapText="1"/>
    </xf>
    <xf numFmtId="165" fontId="6" fillId="0" borderId="24" xfId="1" applyNumberFormat="1" applyFont="1" applyFill="1" applyBorder="1" applyAlignment="1">
      <alignment horizontal="center" vertical="center" wrapText="1"/>
    </xf>
    <xf numFmtId="43" fontId="7" fillId="3" borderId="27" xfId="6" applyFont="1" applyFill="1" applyBorder="1" applyAlignment="1">
      <alignment horizontal="center" vertical="center" wrapText="1"/>
    </xf>
    <xf numFmtId="43" fontId="7" fillId="3" borderId="28" xfId="6" applyFont="1" applyFill="1" applyBorder="1" applyAlignment="1">
      <alignment horizontal="center" vertical="center" wrapText="1"/>
    </xf>
    <xf numFmtId="43" fontId="6" fillId="0" borderId="21" xfId="0" applyNumberFormat="1" applyFont="1" applyBorder="1" applyAlignment="1">
      <alignment horizontal="center" vertical="center" wrapText="1"/>
    </xf>
    <xf numFmtId="0" fontId="6" fillId="0" borderId="22" xfId="0" applyFont="1" applyBorder="1" applyAlignment="1">
      <alignment horizontal="center" vertical="center" wrapText="1"/>
    </xf>
    <xf numFmtId="43" fontId="6" fillId="3" borderId="14" xfId="0" applyNumberFormat="1" applyFont="1" applyFill="1" applyBorder="1" applyAlignment="1">
      <alignment horizontal="center" vertical="center" wrapText="1"/>
    </xf>
    <xf numFmtId="0" fontId="6" fillId="3" borderId="3" xfId="0" applyFont="1" applyFill="1" applyBorder="1" applyAlignment="1">
      <alignment horizontal="center" vertical="center" wrapText="1"/>
    </xf>
    <xf numFmtId="43" fontId="6" fillId="0" borderId="9" xfId="6" applyFont="1" applyFill="1" applyBorder="1" applyAlignment="1">
      <alignment horizontal="center" vertical="center" wrapText="1"/>
    </xf>
    <xf numFmtId="43" fontId="6" fillId="0" borderId="24" xfId="6" applyFont="1" applyFill="1" applyBorder="1" applyAlignment="1">
      <alignment horizontal="center" vertical="center" wrapText="1"/>
    </xf>
    <xf numFmtId="0" fontId="7" fillId="3" borderId="38" xfId="0" applyFont="1" applyFill="1" applyBorder="1" applyAlignment="1">
      <alignment horizontal="center" vertical="center" wrapText="1"/>
    </xf>
    <xf numFmtId="0" fontId="7" fillId="3" borderId="44" xfId="0" applyFont="1" applyFill="1" applyBorder="1" applyAlignment="1">
      <alignment horizontal="center" vertical="center" wrapText="1"/>
    </xf>
    <xf numFmtId="43" fontId="6" fillId="0" borderId="9" xfId="0" applyNumberFormat="1" applyFont="1" applyBorder="1" applyAlignment="1">
      <alignment horizontal="center" vertical="center" wrapText="1"/>
    </xf>
    <xf numFmtId="43" fontId="6" fillId="0" borderId="24" xfId="0" applyNumberFormat="1" applyFont="1" applyBorder="1" applyAlignment="1">
      <alignment horizontal="center" vertical="center" wrapText="1"/>
    </xf>
    <xf numFmtId="43" fontId="7" fillId="3" borderId="27" xfId="0" applyNumberFormat="1" applyFont="1" applyFill="1" applyBorder="1" applyAlignment="1">
      <alignment horizontal="center" vertical="center" wrapText="1"/>
    </xf>
    <xf numFmtId="43" fontId="7" fillId="3" borderId="28" xfId="0" applyNumberFormat="1" applyFont="1" applyFill="1" applyBorder="1" applyAlignment="1">
      <alignment horizontal="center" vertical="center" wrapText="1"/>
    </xf>
    <xf numFmtId="43" fontId="6" fillId="0" borderId="0" xfId="6" applyFont="1" applyFill="1" applyBorder="1" applyAlignment="1">
      <alignment horizontal="center" vertical="center" wrapText="1"/>
    </xf>
    <xf numFmtId="43" fontId="6" fillId="0" borderId="23" xfId="6"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7" fillId="3" borderId="2"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0" borderId="2" xfId="0" applyFont="1" applyBorder="1" applyAlignment="1">
      <alignment horizontal="center" vertical="center"/>
    </xf>
    <xf numFmtId="0" fontId="7" fillId="0" borderId="14" xfId="0" applyFont="1" applyBorder="1" applyAlignment="1">
      <alignment horizontal="center" vertical="center"/>
    </xf>
    <xf numFmtId="0" fontId="7" fillId="0" borderId="43" xfId="0" applyFont="1" applyBorder="1" applyAlignment="1">
      <alignment horizontal="center" vertical="center"/>
    </xf>
    <xf numFmtId="0" fontId="7" fillId="0" borderId="0" xfId="0" applyFont="1" applyAlignment="1">
      <alignment horizontal="left"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xf>
    <xf numFmtId="0" fontId="7" fillId="3" borderId="13" xfId="0" applyFont="1" applyFill="1" applyBorder="1" applyAlignment="1">
      <alignment horizontal="center"/>
    </xf>
    <xf numFmtId="0" fontId="7" fillId="3" borderId="8" xfId="0" applyFont="1" applyFill="1" applyBorder="1" applyAlignment="1">
      <alignment horizontal="center"/>
    </xf>
    <xf numFmtId="0" fontId="7" fillId="3" borderId="0" xfId="0" applyFont="1" applyFill="1" applyAlignment="1">
      <alignment horizontal="center"/>
    </xf>
    <xf numFmtId="0" fontId="6" fillId="0" borderId="11" xfId="0" applyFont="1" applyBorder="1" applyAlignment="1">
      <alignment horizontal="left"/>
    </xf>
    <xf numFmtId="0" fontId="6" fillId="0" borderId="5" xfId="0" applyFont="1" applyBorder="1" applyAlignment="1">
      <alignment horizontal="left"/>
    </xf>
    <xf numFmtId="0" fontId="7" fillId="3" borderId="21" xfId="0" applyFont="1" applyFill="1" applyBorder="1" applyAlignment="1">
      <alignment horizontal="center" vertical="center" wrapText="1"/>
    </xf>
    <xf numFmtId="0" fontId="16" fillId="0" borderId="1" xfId="0" applyFont="1" applyBorder="1" applyAlignment="1">
      <alignment horizontal="center"/>
    </xf>
    <xf numFmtId="0" fontId="16" fillId="0" borderId="4" xfId="0" applyFont="1" applyBorder="1" applyAlignment="1">
      <alignment horizontal="center"/>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0" fontId="7" fillId="3" borderId="25"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3" borderId="9"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 xfId="0" applyFont="1" applyBorder="1" applyAlignment="1">
      <alignment horizontal="center" vertical="center" wrapText="1"/>
    </xf>
    <xf numFmtId="0" fontId="7" fillId="0" borderId="9" xfId="0" applyFont="1" applyBorder="1" applyAlignment="1">
      <alignment horizontal="center" vertical="center" wrapText="1"/>
    </xf>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6" fillId="3" borderId="7" xfId="0" applyFont="1" applyFill="1" applyBorder="1" applyAlignment="1">
      <alignment horizontal="left" vertical="center" wrapText="1"/>
    </xf>
    <xf numFmtId="0" fontId="6" fillId="3" borderId="6" xfId="0" applyFont="1" applyFill="1" applyBorder="1" applyAlignment="1">
      <alignment horizontal="left" vertical="center" wrapText="1"/>
    </xf>
    <xf numFmtId="0" fontId="12" fillId="0" borderId="1" xfId="0" applyFont="1" applyBorder="1" applyAlignment="1">
      <alignment horizontal="center"/>
    </xf>
    <xf numFmtId="0" fontId="12" fillId="0" borderId="9" xfId="0" applyFont="1" applyBorder="1" applyAlignment="1">
      <alignment horizontal="center"/>
    </xf>
    <xf numFmtId="0" fontId="12" fillId="0" borderId="5" xfId="0" applyFont="1" applyBorder="1" applyAlignment="1">
      <alignment horizontal="center"/>
    </xf>
    <xf numFmtId="0" fontId="12" fillId="0" borderId="10" xfId="0" applyFont="1" applyBorder="1" applyAlignment="1">
      <alignment horizontal="center"/>
    </xf>
    <xf numFmtId="0" fontId="1" fillId="0" borderId="1" xfId="13" applyBorder="1" applyAlignment="1">
      <alignment horizontal="center" wrapText="1"/>
    </xf>
    <xf numFmtId="0" fontId="23" fillId="0" borderId="41" xfId="13" applyFont="1" applyBorder="1" applyAlignment="1">
      <alignment horizontal="center" vertical="center"/>
    </xf>
    <xf numFmtId="0" fontId="23" fillId="0" borderId="40" xfId="13" applyFont="1" applyBorder="1" applyAlignment="1">
      <alignment horizontal="center" vertical="center"/>
    </xf>
    <xf numFmtId="168" fontId="1" fillId="0" borderId="1" xfId="13" applyNumberFormat="1" applyBorder="1" applyAlignment="1">
      <alignment horizontal="center"/>
    </xf>
    <xf numFmtId="0" fontId="19" fillId="0" borderId="0" xfId="0" applyFont="1" applyAlignment="1">
      <alignment horizontal="center" vertical="center"/>
    </xf>
    <xf numFmtId="0" fontId="24" fillId="0" borderId="0" xfId="0" applyFont="1" applyAlignment="1">
      <alignment horizontal="center" vertical="center"/>
    </xf>
    <xf numFmtId="0" fontId="19" fillId="0" borderId="7" xfId="0" applyFont="1" applyBorder="1" applyAlignment="1">
      <alignment horizontal="center" vertical="center" wrapText="1"/>
    </xf>
    <xf numFmtId="0" fontId="19" fillId="0" borderId="6" xfId="0" applyFont="1" applyBorder="1" applyAlignment="1">
      <alignment horizontal="center" vertical="center" wrapText="1"/>
    </xf>
    <xf numFmtId="0" fontId="19" fillId="0" borderId="42" xfId="0" applyFont="1" applyBorder="1" applyAlignment="1">
      <alignment horizontal="center" vertical="center" wrapText="1"/>
    </xf>
    <xf numFmtId="0" fontId="18" fillId="4" borderId="9"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10" xfId="0" applyFont="1" applyFill="1" applyBorder="1" applyAlignment="1">
      <alignment horizontal="center" vertical="center"/>
    </xf>
    <xf numFmtId="0" fontId="19" fillId="0" borderId="0" xfId="0" applyFont="1" applyAlignment="1">
      <alignment horizontal="center" vertical="center" wrapText="1"/>
    </xf>
    <xf numFmtId="0" fontId="0" fillId="0" borderId="0" xfId="0" applyFill="1" applyBorder="1"/>
    <xf numFmtId="0" fontId="0" fillId="0" borderId="0" xfId="0" applyFill="1" applyBorder="1" applyAlignment="1">
      <alignment horizontal="center"/>
    </xf>
    <xf numFmtId="0" fontId="14" fillId="0" borderId="0" xfId="0" applyFont="1" applyFill="1" applyBorder="1" applyAlignment="1">
      <alignment horizontal="center" vertical="center" wrapText="1"/>
    </xf>
    <xf numFmtId="0" fontId="14" fillId="0" borderId="0" xfId="0" applyFont="1" applyFill="1" applyBorder="1" applyAlignment="1">
      <alignment horizontal="center" vertical="center" wrapText="1"/>
    </xf>
    <xf numFmtId="0" fontId="0" fillId="0" borderId="0" xfId="0" applyFill="1" applyBorder="1" applyAlignment="1">
      <alignment horizontal="center" vertical="center" wrapText="1"/>
    </xf>
    <xf numFmtId="0" fontId="0" fillId="0" borderId="0" xfId="0" applyFill="1" applyBorder="1" applyAlignment="1">
      <alignment horizontal="center" vertical="center" wrapText="1"/>
    </xf>
    <xf numFmtId="166" fontId="0" fillId="0" borderId="0" xfId="0" applyNumberFormat="1" applyFill="1" applyBorder="1" applyAlignment="1">
      <alignment horizontal="center" vertical="center" wrapText="1"/>
    </xf>
    <xf numFmtId="0" fontId="13" fillId="0" borderId="0" xfId="0" applyFont="1" applyFill="1" applyBorder="1" applyAlignment="1">
      <alignment horizontal="center" vertical="center" wrapText="1"/>
    </xf>
    <xf numFmtId="166" fontId="13" fillId="0" borderId="0" xfId="0" applyNumberFormat="1"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0" fillId="0" borderId="0" xfId="0" applyFill="1" applyBorder="1" applyAlignment="1">
      <alignment horizontal="center" wrapText="1"/>
    </xf>
    <xf numFmtId="166" fontId="0" fillId="0" borderId="0" xfId="0" applyNumberFormat="1" applyFill="1" applyBorder="1" applyAlignment="1">
      <alignment horizontal="center" wrapText="1"/>
    </xf>
    <xf numFmtId="0" fontId="13" fillId="0" borderId="0" xfId="0" applyFont="1" applyFill="1" applyBorder="1" applyAlignment="1">
      <alignment horizontal="center" wrapText="1"/>
    </xf>
    <xf numFmtId="166" fontId="13" fillId="0" borderId="0" xfId="0" applyNumberFormat="1" applyFont="1" applyFill="1" applyBorder="1" applyAlignment="1">
      <alignment horizontal="center" wrapText="1"/>
    </xf>
    <xf numFmtId="4" fontId="13" fillId="0" borderId="0" xfId="0" applyNumberFormat="1" applyFont="1" applyFill="1" applyBorder="1" applyAlignment="1">
      <alignment horizontal="center" wrapText="1"/>
    </xf>
    <xf numFmtId="0" fontId="0" fillId="0" borderId="0" xfId="0" applyFill="1" applyBorder="1" applyAlignment="1">
      <alignment horizontal="center" vertical="center"/>
    </xf>
    <xf numFmtId="166" fontId="0" fillId="0" borderId="0" xfId="0" applyNumberFormat="1" applyFill="1" applyBorder="1"/>
    <xf numFmtId="0" fontId="0" fillId="0" borderId="0" xfId="0" applyFill="1" applyBorder="1" applyAlignment="1">
      <alignment horizontal="center" vertical="top" wrapText="1"/>
    </xf>
    <xf numFmtId="0" fontId="0" fillId="0" borderId="0" xfId="0" applyFill="1" applyBorder="1" applyAlignment="1">
      <alignment horizontal="center" wrapText="1"/>
    </xf>
    <xf numFmtId="0" fontId="0" fillId="0" borderId="0" xfId="0" applyFill="1" applyBorder="1" applyAlignment="1">
      <alignment vertical="center"/>
    </xf>
  </cellXfs>
  <cellStyles count="14">
    <cellStyle name="Moeda" xfId="1" builtinId="4"/>
    <cellStyle name="Moeda 2" xfId="8" xr:uid="{BCAD86AC-69DB-41BC-8567-B6F546AA4765}"/>
    <cellStyle name="Normal" xfId="0" builtinId="0"/>
    <cellStyle name="Normal 2" xfId="3" xr:uid="{00000000-0005-0000-0000-000002000000}"/>
    <cellStyle name="Normal 2 2" xfId="9" xr:uid="{10C59BE5-F593-4EDA-8528-FC9501E0915F}"/>
    <cellStyle name="Normal 3" xfId="7" xr:uid="{2202C122-640C-4696-8D06-5EB9BA3A4476}"/>
    <cellStyle name="Normal 3 2" xfId="11" xr:uid="{8F1C7A07-52F3-42E6-BAC8-51404E4BB8D5}"/>
    <cellStyle name="Normal 4" xfId="13" xr:uid="{D58F866E-D69B-454A-A87D-97AF32B057A3}"/>
    <cellStyle name="Normal 5" xfId="4" xr:uid="{00000000-0005-0000-0000-000003000000}"/>
    <cellStyle name="Porcentagem" xfId="2" builtinId="5"/>
    <cellStyle name="Porcentagem 2" xfId="12" xr:uid="{200105AC-3B89-495D-87B9-CA1AB673388B}"/>
    <cellStyle name="Vírgula" xfId="6" builtinId="3"/>
    <cellStyle name="Vírgula 2" xfId="5" xr:uid="{00000000-0005-0000-0000-000006000000}"/>
    <cellStyle name="Vírgula 3" xfId="10" xr:uid="{B33E4824-5499-4673-ACFC-E42F1559287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8FB6E-A314-41DA-B974-6221A7654641}">
  <dimension ref="A1:W126"/>
  <sheetViews>
    <sheetView workbookViewId="0">
      <selection activeCell="J32" sqref="J32:M32"/>
    </sheetView>
  </sheetViews>
  <sheetFormatPr defaultRowHeight="12.75" x14ac:dyDescent="0.2"/>
  <cols>
    <col min="4" max="6" width="18.7109375" customWidth="1"/>
    <col min="10" max="10" width="11.5703125" bestFit="1" customWidth="1"/>
    <col min="11" max="11" width="11.7109375" bestFit="1" customWidth="1"/>
    <col min="13" max="13" width="34.140625" customWidth="1"/>
    <col min="14" max="15" width="18.7109375" customWidth="1"/>
    <col min="17" max="17" width="17" customWidth="1"/>
    <col min="18" max="18" width="12" bestFit="1" customWidth="1"/>
    <col min="21" max="23" width="18.7109375" customWidth="1"/>
  </cols>
  <sheetData>
    <row r="1" spans="1:23" x14ac:dyDescent="0.2">
      <c r="R1" s="287"/>
      <c r="S1" s="287"/>
      <c r="T1" s="287"/>
      <c r="U1" s="287"/>
      <c r="V1" s="287"/>
      <c r="W1" s="287"/>
    </row>
    <row r="2" spans="1:23" ht="13.5" thickBot="1" x14ac:dyDescent="0.25">
      <c r="R2" s="287"/>
      <c r="S2" s="287"/>
      <c r="T2" s="287"/>
      <c r="U2" s="287"/>
      <c r="V2" s="287"/>
      <c r="W2" s="287"/>
    </row>
    <row r="3" spans="1:23" ht="13.5" thickBot="1" x14ac:dyDescent="0.25">
      <c r="A3" s="129"/>
      <c r="B3" s="130"/>
      <c r="C3" s="130"/>
      <c r="D3" s="130"/>
      <c r="E3" s="130"/>
      <c r="F3" s="131"/>
      <c r="J3" s="174" t="s">
        <v>253</v>
      </c>
      <c r="K3" s="175"/>
      <c r="L3" s="175"/>
      <c r="M3" s="175"/>
      <c r="N3" s="175"/>
      <c r="O3" s="176"/>
      <c r="R3" s="288"/>
      <c r="S3" s="288"/>
      <c r="T3" s="288"/>
      <c r="U3" s="288"/>
      <c r="V3" s="288"/>
      <c r="W3" s="288"/>
    </row>
    <row r="4" spans="1:23" ht="13.5" thickBot="1" x14ac:dyDescent="0.25">
      <c r="A4" s="177" t="s">
        <v>179</v>
      </c>
      <c r="B4" s="178"/>
      <c r="C4" s="178"/>
      <c r="D4" s="178"/>
      <c r="E4" s="178"/>
      <c r="F4" s="179"/>
      <c r="J4" s="177" t="s">
        <v>179</v>
      </c>
      <c r="K4" s="178"/>
      <c r="L4" s="178"/>
      <c r="M4" s="178"/>
      <c r="N4" s="178"/>
      <c r="O4" s="179"/>
      <c r="R4" s="288"/>
      <c r="S4" s="288"/>
      <c r="T4" s="288"/>
      <c r="U4" s="288"/>
      <c r="V4" s="288"/>
      <c r="W4" s="288"/>
    </row>
    <row r="5" spans="1:23" ht="24" x14ac:dyDescent="0.2">
      <c r="A5" s="84" t="s">
        <v>172</v>
      </c>
      <c r="B5" s="170" t="s">
        <v>173</v>
      </c>
      <c r="C5" s="170"/>
      <c r="D5" s="85" t="s">
        <v>250</v>
      </c>
      <c r="E5" s="126" t="s">
        <v>174</v>
      </c>
      <c r="F5" s="127" t="s">
        <v>175</v>
      </c>
      <c r="J5" s="84" t="s">
        <v>172</v>
      </c>
      <c r="K5" s="170" t="s">
        <v>173</v>
      </c>
      <c r="L5" s="170"/>
      <c r="M5" s="85" t="s">
        <v>250</v>
      </c>
      <c r="N5" s="126" t="s">
        <v>174</v>
      </c>
      <c r="O5" s="127" t="s">
        <v>175</v>
      </c>
      <c r="R5" s="289"/>
      <c r="S5" s="290"/>
      <c r="T5" s="290"/>
      <c r="U5" s="289"/>
      <c r="V5" s="289"/>
      <c r="W5" s="289"/>
    </row>
    <row r="6" spans="1:23" ht="25.5" x14ac:dyDescent="0.2">
      <c r="A6" s="146" t="s">
        <v>176</v>
      </c>
      <c r="B6" s="181">
        <v>6</v>
      </c>
      <c r="C6" s="181"/>
      <c r="D6" s="147">
        <f xml:space="preserve"> 6324.44 + 150.48</f>
        <v>6474.9199999999992</v>
      </c>
      <c r="E6" s="147">
        <f>D6*B6</f>
        <v>38849.519999999997</v>
      </c>
      <c r="F6" s="148">
        <f>E6*12</f>
        <v>466194.24</v>
      </c>
      <c r="J6" s="151" t="s">
        <v>176</v>
      </c>
      <c r="K6" s="171">
        <v>6</v>
      </c>
      <c r="L6" s="171"/>
      <c r="M6" s="152">
        <f xml:space="preserve"> 7027.81 + 149.19</f>
        <v>7177</v>
      </c>
      <c r="N6" s="152">
        <f>M6*K6</f>
        <v>43062</v>
      </c>
      <c r="O6" s="153">
        <f>N6*12</f>
        <v>516744</v>
      </c>
      <c r="R6" s="291"/>
      <c r="S6" s="305"/>
      <c r="T6" s="305"/>
      <c r="U6" s="299"/>
      <c r="V6" s="299"/>
      <c r="W6" s="299"/>
    </row>
    <row r="7" spans="1:23" x14ac:dyDescent="0.2">
      <c r="A7" s="146" t="s">
        <v>177</v>
      </c>
      <c r="B7" s="182">
        <v>3</v>
      </c>
      <c r="C7" s="182"/>
      <c r="D7" s="147">
        <f xml:space="preserve"> 4750.95 + 64.94</f>
        <v>4815.8899999999994</v>
      </c>
      <c r="E7" s="147">
        <f>D7*B7</f>
        <v>14447.669999999998</v>
      </c>
      <c r="F7" s="148">
        <f>E7*12</f>
        <v>173372.03999999998</v>
      </c>
      <c r="J7" s="151" t="s">
        <v>177</v>
      </c>
      <c r="K7" s="171">
        <v>3</v>
      </c>
      <c r="L7" s="171"/>
      <c r="M7" s="152">
        <f xml:space="preserve"> 5215.18 + 69.17</f>
        <v>5284.35</v>
      </c>
      <c r="N7" s="152">
        <f>M7*K7</f>
        <v>15853.050000000001</v>
      </c>
      <c r="O7" s="153">
        <f>N7*12</f>
        <v>190236.6</v>
      </c>
      <c r="R7" s="306"/>
      <c r="S7" s="298"/>
      <c r="T7" s="298"/>
      <c r="U7" s="299"/>
      <c r="V7" s="299"/>
      <c r="W7" s="299"/>
    </row>
    <row r="8" spans="1:23" ht="15" x14ac:dyDescent="0.25">
      <c r="A8" s="180" t="s">
        <v>251</v>
      </c>
      <c r="B8" s="180"/>
      <c r="C8" s="180"/>
      <c r="D8" s="180"/>
      <c r="E8" s="149">
        <f>SUM(E6:E7)</f>
        <v>53297.189999999995</v>
      </c>
      <c r="F8" s="150">
        <f>SUM(F6:F7)</f>
        <v>639566.28</v>
      </c>
      <c r="J8" s="172" t="s">
        <v>251</v>
      </c>
      <c r="K8" s="172"/>
      <c r="L8" s="172"/>
      <c r="M8" s="172"/>
      <c r="N8" s="154">
        <f>SUM(N6:N7)</f>
        <v>58915.05</v>
      </c>
      <c r="O8" s="155">
        <f>SUM(O6:O7)</f>
        <v>706980.6</v>
      </c>
      <c r="R8" s="300"/>
      <c r="S8" s="300"/>
      <c r="T8" s="300"/>
      <c r="U8" s="300"/>
      <c r="V8" s="301"/>
      <c r="W8" s="301"/>
    </row>
    <row r="9" spans="1:23" ht="15" x14ac:dyDescent="0.2">
      <c r="A9" s="173" t="s">
        <v>101</v>
      </c>
      <c r="B9" s="173"/>
      <c r="C9" s="173"/>
      <c r="D9" s="173"/>
      <c r="E9" s="86" t="s">
        <v>174</v>
      </c>
      <c r="F9" s="87" t="s">
        <v>175</v>
      </c>
      <c r="J9" s="173" t="s">
        <v>101</v>
      </c>
      <c r="K9" s="173"/>
      <c r="L9" s="173"/>
      <c r="M9" s="173"/>
      <c r="N9" s="86" t="s">
        <v>174</v>
      </c>
      <c r="O9" s="87" t="s">
        <v>175</v>
      </c>
      <c r="R9" s="296"/>
      <c r="S9" s="296"/>
      <c r="T9" s="296"/>
      <c r="U9" s="296"/>
      <c r="V9" s="297"/>
      <c r="W9" s="297"/>
    </row>
    <row r="10" spans="1:23" x14ac:dyDescent="0.2">
      <c r="A10" s="164" t="s">
        <v>102</v>
      </c>
      <c r="B10" s="164"/>
      <c r="C10" s="164"/>
      <c r="D10" s="164"/>
      <c r="E10" s="156">
        <f>'Materiais e utensílios'!G28</f>
        <v>45853.193360000012</v>
      </c>
      <c r="F10" s="157">
        <f>E10*12</f>
        <v>550238.32032000017</v>
      </c>
      <c r="J10" s="164" t="s">
        <v>102</v>
      </c>
      <c r="K10" s="164"/>
      <c r="L10" s="164"/>
      <c r="M10" s="164"/>
      <c r="N10" s="156">
        <f>'Materiais e utensílios'!M28</f>
        <v>484.42387499999995</v>
      </c>
      <c r="O10" s="157">
        <f>N10*12</f>
        <v>5813.0864999999994</v>
      </c>
      <c r="R10" s="298"/>
      <c r="S10" s="298"/>
      <c r="T10" s="298"/>
      <c r="U10" s="298"/>
      <c r="V10" s="299"/>
      <c r="W10" s="299"/>
    </row>
    <row r="11" spans="1:23" x14ac:dyDescent="0.2">
      <c r="A11" s="164" t="s">
        <v>103</v>
      </c>
      <c r="B11" s="164"/>
      <c r="C11" s="164"/>
      <c r="D11" s="164"/>
      <c r="E11" s="147">
        <f>'Materiais e utensílios'!E55</f>
        <v>2253.8019894444446</v>
      </c>
      <c r="F11" s="148">
        <f>E11*12</f>
        <v>27045.623873333338</v>
      </c>
      <c r="J11" s="164" t="s">
        <v>103</v>
      </c>
      <c r="K11" s="164"/>
      <c r="L11" s="164"/>
      <c r="M11" s="164"/>
      <c r="N11" s="147">
        <f>'Materiais e utensílios'!K55</f>
        <v>1025.1094506249999</v>
      </c>
      <c r="O11" s="148">
        <f>N11*12</f>
        <v>12301.313407499998</v>
      </c>
      <c r="R11" s="298"/>
      <c r="S11" s="298"/>
      <c r="T11" s="298"/>
      <c r="U11" s="298"/>
      <c r="V11" s="299"/>
      <c r="W11" s="299"/>
    </row>
    <row r="12" spans="1:23" ht="15.75" thickBot="1" x14ac:dyDescent="0.3">
      <c r="A12" s="165" t="s">
        <v>252</v>
      </c>
      <c r="B12" s="165"/>
      <c r="C12" s="165"/>
      <c r="D12" s="165"/>
      <c r="E12" s="124">
        <f>E8+E10+E11</f>
        <v>101404.18534944445</v>
      </c>
      <c r="F12" s="158">
        <f>SUM(F10:F11)</f>
        <v>577283.9441933335</v>
      </c>
      <c r="J12" s="165" t="s">
        <v>252</v>
      </c>
      <c r="K12" s="165"/>
      <c r="L12" s="165"/>
      <c r="M12" s="165"/>
      <c r="N12" s="124">
        <f>N8+N10+N11</f>
        <v>60424.583325625004</v>
      </c>
      <c r="O12" s="158">
        <f>SUM(O10:O11)</f>
        <v>18114.399907499996</v>
      </c>
      <c r="R12" s="300"/>
      <c r="S12" s="300"/>
      <c r="T12" s="300"/>
      <c r="U12" s="300"/>
      <c r="V12" s="295"/>
      <c r="W12" s="301"/>
    </row>
    <row r="13" spans="1:23" ht="15.75" thickBot="1" x14ac:dyDescent="0.3">
      <c r="A13" s="166" t="s">
        <v>178</v>
      </c>
      <c r="B13" s="166"/>
      <c r="C13" s="166"/>
      <c r="D13" s="166"/>
      <c r="E13" s="88"/>
      <c r="F13" s="125">
        <f>F12+F8</f>
        <v>1216850.2241933336</v>
      </c>
      <c r="J13" s="166" t="s">
        <v>178</v>
      </c>
      <c r="K13" s="166"/>
      <c r="L13" s="166"/>
      <c r="M13" s="166"/>
      <c r="N13" s="88"/>
      <c r="O13" s="125">
        <f>O12+O8</f>
        <v>725094.99990749999</v>
      </c>
      <c r="R13" s="300"/>
      <c r="S13" s="300"/>
      <c r="T13" s="300"/>
      <c r="U13" s="300"/>
      <c r="V13" s="302"/>
      <c r="W13" s="295"/>
    </row>
    <row r="14" spans="1:23" ht="13.5" thickBot="1" x14ac:dyDescent="0.25">
      <c r="J14" s="167" t="s">
        <v>254</v>
      </c>
      <c r="K14" s="168"/>
      <c r="L14" s="168"/>
      <c r="M14" s="168"/>
      <c r="N14" s="168"/>
      <c r="O14" s="169"/>
      <c r="R14" s="307"/>
      <c r="S14" s="307"/>
      <c r="T14" s="307"/>
      <c r="U14" s="307"/>
      <c r="V14" s="307"/>
      <c r="W14" s="307"/>
    </row>
    <row r="15" spans="1:23" x14ac:dyDescent="0.2">
      <c r="R15" s="287"/>
      <c r="S15" s="287"/>
      <c r="T15" s="287"/>
      <c r="U15" s="287"/>
      <c r="V15" s="287"/>
      <c r="W15" s="287"/>
    </row>
    <row r="16" spans="1:23" ht="13.5" thickBot="1" x14ac:dyDescent="0.25">
      <c r="F16" s="103"/>
      <c r="R16" s="287"/>
      <c r="S16" s="287"/>
      <c r="T16" s="287"/>
      <c r="U16" s="287"/>
      <c r="V16" s="287"/>
      <c r="W16" s="287"/>
    </row>
    <row r="17" spans="1:23" ht="13.5" thickBot="1" x14ac:dyDescent="0.25">
      <c r="A17" s="174" t="s">
        <v>259</v>
      </c>
      <c r="B17" s="175"/>
      <c r="C17" s="175"/>
      <c r="D17" s="175"/>
      <c r="E17" s="175"/>
      <c r="F17" s="176"/>
      <c r="R17" s="287"/>
      <c r="S17" s="287"/>
      <c r="T17" s="287"/>
      <c r="U17" s="287"/>
      <c r="V17" s="287"/>
      <c r="W17" s="287"/>
    </row>
    <row r="18" spans="1:23" ht="13.5" thickBot="1" x14ac:dyDescent="0.25">
      <c r="A18" s="177" t="s">
        <v>179</v>
      </c>
      <c r="B18" s="178"/>
      <c r="C18" s="178"/>
      <c r="D18" s="178"/>
      <c r="E18" s="178"/>
      <c r="F18" s="179"/>
      <c r="R18" s="287"/>
      <c r="S18" s="287"/>
      <c r="T18" s="287"/>
      <c r="U18" s="287"/>
      <c r="V18" s="287"/>
      <c r="W18" s="287"/>
    </row>
    <row r="19" spans="1:23" ht="24" x14ac:dyDescent="0.2">
      <c r="A19" s="84" t="s">
        <v>172</v>
      </c>
      <c r="B19" s="170" t="s">
        <v>173</v>
      </c>
      <c r="C19" s="170"/>
      <c r="D19" s="85" t="s">
        <v>250</v>
      </c>
      <c r="E19" s="126" t="s">
        <v>174</v>
      </c>
      <c r="F19" s="127" t="s">
        <v>175</v>
      </c>
      <c r="I19" s="287"/>
      <c r="J19" s="287"/>
      <c r="K19" s="287"/>
      <c r="L19" s="287"/>
      <c r="M19" s="287"/>
      <c r="N19" s="287"/>
      <c r="O19" s="287"/>
      <c r="P19" s="287"/>
      <c r="Q19" s="287"/>
    </row>
    <row r="20" spans="1:23" ht="25.5" x14ac:dyDescent="0.2">
      <c r="A20" s="151" t="s">
        <v>176</v>
      </c>
      <c r="B20" s="171">
        <v>6</v>
      </c>
      <c r="C20" s="171"/>
      <c r="D20" s="152">
        <f>6572.16+150.48</f>
        <v>6722.6399999999994</v>
      </c>
      <c r="E20" s="152">
        <f>D20*B20</f>
        <v>40335.839999999997</v>
      </c>
      <c r="F20" s="153">
        <f>E20*12</f>
        <v>484030.07999999996</v>
      </c>
      <c r="I20" s="287"/>
      <c r="J20" s="288"/>
      <c r="K20" s="288"/>
      <c r="L20" s="288"/>
      <c r="M20" s="288"/>
      <c r="N20" s="288"/>
      <c r="O20" s="288"/>
      <c r="P20" s="287"/>
      <c r="Q20" s="287"/>
    </row>
    <row r="21" spans="1:23" x14ac:dyDescent="0.2">
      <c r="A21" s="151" t="s">
        <v>177</v>
      </c>
      <c r="B21" s="171">
        <v>3</v>
      </c>
      <c r="C21" s="171"/>
      <c r="D21" s="147">
        <f>4937.24 + 64.94</f>
        <v>5002.1799999999994</v>
      </c>
      <c r="E21" s="152">
        <f>D21*B21</f>
        <v>15006.539999999997</v>
      </c>
      <c r="F21" s="153">
        <f>E21*12</f>
        <v>180078.47999999998</v>
      </c>
      <c r="I21" s="287"/>
      <c r="J21" s="288"/>
      <c r="K21" s="288"/>
      <c r="L21" s="288"/>
      <c r="M21" s="288"/>
      <c r="N21" s="288"/>
      <c r="O21" s="288"/>
      <c r="P21" s="287"/>
      <c r="Q21" s="287"/>
    </row>
    <row r="22" spans="1:23" ht="15" x14ac:dyDescent="0.2">
      <c r="A22" s="172" t="s">
        <v>251</v>
      </c>
      <c r="B22" s="172"/>
      <c r="C22" s="172"/>
      <c r="D22" s="172"/>
      <c r="E22" s="154">
        <f>SUM(E20:E21)</f>
        <v>55342.37999999999</v>
      </c>
      <c r="F22" s="155">
        <f>SUM(F20:F21)</f>
        <v>664108.55999999994</v>
      </c>
      <c r="I22" s="287"/>
      <c r="J22" s="289"/>
      <c r="K22" s="290"/>
      <c r="L22" s="290"/>
      <c r="M22" s="289"/>
      <c r="N22" s="289"/>
      <c r="O22" s="289"/>
      <c r="P22" s="287"/>
      <c r="Q22" s="287"/>
    </row>
    <row r="23" spans="1:23" ht="15" x14ac:dyDescent="0.2">
      <c r="A23" s="173" t="s">
        <v>101</v>
      </c>
      <c r="B23" s="173"/>
      <c r="C23" s="173"/>
      <c r="D23" s="173"/>
      <c r="E23" s="86" t="s">
        <v>174</v>
      </c>
      <c r="F23" s="87" t="s">
        <v>175</v>
      </c>
      <c r="I23" s="287"/>
      <c r="J23" s="291"/>
      <c r="K23" s="292"/>
      <c r="L23" s="292"/>
      <c r="M23" s="293"/>
      <c r="N23" s="293"/>
      <c r="O23" s="293"/>
      <c r="P23" s="287"/>
      <c r="Q23" s="287"/>
    </row>
    <row r="24" spans="1:23" x14ac:dyDescent="0.2">
      <c r="A24" s="164" t="s">
        <v>258</v>
      </c>
      <c r="B24" s="164"/>
      <c r="C24" s="164"/>
      <c r="D24" s="164"/>
      <c r="E24" s="147">
        <f>'Materiais e utensílios'!S26</f>
        <v>25954.110000000004</v>
      </c>
      <c r="F24" s="148">
        <f>E24*12</f>
        <v>311449.32000000007</v>
      </c>
      <c r="I24" s="287"/>
      <c r="J24" s="291"/>
      <c r="K24" s="292"/>
      <c r="L24" s="292"/>
      <c r="M24" s="293"/>
      <c r="N24" s="293"/>
      <c r="O24" s="293"/>
      <c r="P24" s="287"/>
      <c r="Q24" s="287"/>
    </row>
    <row r="25" spans="1:23" ht="15" x14ac:dyDescent="0.2">
      <c r="A25" s="164" t="s">
        <v>260</v>
      </c>
      <c r="B25" s="164"/>
      <c r="C25" s="164"/>
      <c r="D25" s="164"/>
      <c r="E25" s="147">
        <f>E24*0.1765</f>
        <v>4580.9004150000001</v>
      </c>
      <c r="F25" s="147">
        <f>F24*0.1765</f>
        <v>54970.804980000008</v>
      </c>
      <c r="I25" s="287"/>
      <c r="J25" s="294"/>
      <c r="K25" s="294"/>
      <c r="L25" s="294"/>
      <c r="M25" s="294"/>
      <c r="N25" s="295"/>
      <c r="O25" s="295"/>
      <c r="P25" s="287"/>
      <c r="Q25" s="287"/>
      <c r="S25" s="163"/>
    </row>
    <row r="26" spans="1:23" ht="15" x14ac:dyDescent="0.2">
      <c r="A26" s="164" t="s">
        <v>261</v>
      </c>
      <c r="B26" s="164"/>
      <c r="C26" s="164"/>
      <c r="D26" s="164"/>
      <c r="E26" s="161">
        <f>E24+E25</f>
        <v>30535.010415000004</v>
      </c>
      <c r="F26" s="160">
        <f>F24+F25</f>
        <v>366420.12498000008</v>
      </c>
      <c r="I26" s="287"/>
      <c r="J26" s="296"/>
      <c r="K26" s="296"/>
      <c r="L26" s="296"/>
      <c r="M26" s="296"/>
      <c r="N26" s="297"/>
      <c r="O26" s="297"/>
      <c r="P26" s="287"/>
      <c r="Q26" s="287"/>
    </row>
    <row r="27" spans="1:23" x14ac:dyDescent="0.2">
      <c r="A27" s="164" t="s">
        <v>103</v>
      </c>
      <c r="B27" s="164"/>
      <c r="C27" s="164"/>
      <c r="D27" s="164"/>
      <c r="E27" s="147">
        <f>'Materiais e utensílios'!Q53</f>
        <v>1311.4349999999999</v>
      </c>
      <c r="F27" s="148">
        <f>E27*12</f>
        <v>15737.22</v>
      </c>
      <c r="I27" s="287"/>
      <c r="J27" s="298"/>
      <c r="K27" s="298"/>
      <c r="L27" s="298"/>
      <c r="M27" s="298"/>
      <c r="N27" s="299"/>
      <c r="O27" s="299"/>
      <c r="P27" s="287"/>
      <c r="Q27" s="287"/>
    </row>
    <row r="28" spans="1:23" x14ac:dyDescent="0.2">
      <c r="A28" s="164" t="s">
        <v>262</v>
      </c>
      <c r="B28" s="164"/>
      <c r="C28" s="164"/>
      <c r="D28" s="164"/>
      <c r="E28" s="147">
        <f>E27*0.1765</f>
        <v>231.46827749999997</v>
      </c>
      <c r="F28" s="147">
        <f>F27*0.1765</f>
        <v>2777.6193299999995</v>
      </c>
      <c r="I28" s="287"/>
      <c r="J28" s="298"/>
      <c r="K28" s="298"/>
      <c r="L28" s="298"/>
      <c r="M28" s="298"/>
      <c r="N28" s="299"/>
      <c r="O28" s="299"/>
      <c r="P28" s="287"/>
      <c r="Q28" s="287"/>
    </row>
    <row r="29" spans="1:23" x14ac:dyDescent="0.2">
      <c r="A29" s="164" t="s">
        <v>263</v>
      </c>
      <c r="B29" s="164"/>
      <c r="C29" s="164"/>
      <c r="D29" s="164"/>
      <c r="E29" s="160">
        <f>E27+E28</f>
        <v>1542.9032774999998</v>
      </c>
      <c r="F29" s="160">
        <f>F27+F28</f>
        <v>18514.839329999999</v>
      </c>
      <c r="I29" s="287"/>
      <c r="J29" s="298"/>
      <c r="K29" s="298"/>
      <c r="L29" s="298"/>
      <c r="M29" s="298"/>
      <c r="N29" s="299"/>
      <c r="O29" s="299"/>
      <c r="P29" s="287"/>
      <c r="Q29" s="287"/>
    </row>
    <row r="30" spans="1:23" ht="15.75" thickBot="1" x14ac:dyDescent="0.3">
      <c r="A30" s="165" t="s">
        <v>252</v>
      </c>
      <c r="B30" s="165"/>
      <c r="C30" s="165"/>
      <c r="D30" s="165"/>
      <c r="E30" s="124">
        <f>E22+E26+E29</f>
        <v>87420.293692499996</v>
      </c>
      <c r="F30" s="162">
        <f>F22+F26+F29</f>
        <v>1049043.52431</v>
      </c>
      <c r="I30" s="287"/>
      <c r="J30" s="298"/>
      <c r="K30" s="298"/>
      <c r="L30" s="298"/>
      <c r="M30" s="298"/>
      <c r="N30" s="299"/>
      <c r="O30" s="299"/>
      <c r="P30" s="287"/>
      <c r="Q30" s="287"/>
    </row>
    <row r="31" spans="1:23" ht="15.75" thickBot="1" x14ac:dyDescent="0.3">
      <c r="A31" s="166" t="s">
        <v>178</v>
      </c>
      <c r="B31" s="166"/>
      <c r="C31" s="166"/>
      <c r="D31" s="166"/>
      <c r="E31" s="88"/>
      <c r="F31" s="125">
        <f>F22+F26+F29</f>
        <v>1049043.52431</v>
      </c>
      <c r="I31" s="287"/>
      <c r="J31" s="298"/>
      <c r="K31" s="298"/>
      <c r="L31" s="298"/>
      <c r="M31" s="298"/>
      <c r="N31" s="299"/>
      <c r="O31" s="299"/>
      <c r="P31" s="287"/>
      <c r="Q31" s="287"/>
    </row>
    <row r="32" spans="1:23" x14ac:dyDescent="0.2">
      <c r="I32" s="287"/>
      <c r="J32" s="298"/>
      <c r="K32" s="298"/>
      <c r="L32" s="298"/>
      <c r="M32" s="298"/>
      <c r="N32" s="299"/>
      <c r="O32" s="299"/>
      <c r="P32" s="287"/>
      <c r="Q32" s="287"/>
    </row>
    <row r="33" spans="9:18" ht="15" x14ac:dyDescent="0.25">
      <c r="I33" s="287"/>
      <c r="J33" s="300"/>
      <c r="K33" s="300"/>
      <c r="L33" s="300"/>
      <c r="M33" s="300"/>
      <c r="N33" s="295"/>
      <c r="O33" s="301"/>
      <c r="P33" s="287"/>
      <c r="Q33" s="287"/>
    </row>
    <row r="34" spans="9:18" ht="15" x14ac:dyDescent="0.25">
      <c r="I34" s="287"/>
      <c r="J34" s="300"/>
      <c r="K34" s="300"/>
      <c r="L34" s="300"/>
      <c r="M34" s="300"/>
      <c r="N34" s="302"/>
      <c r="O34" s="295"/>
      <c r="P34" s="287"/>
      <c r="Q34" s="287"/>
    </row>
    <row r="35" spans="9:18" x14ac:dyDescent="0.2">
      <c r="I35" s="287"/>
      <c r="J35" s="303"/>
      <c r="K35" s="303"/>
      <c r="L35" s="303"/>
      <c r="M35" s="303"/>
      <c r="N35" s="303"/>
      <c r="O35" s="303"/>
      <c r="P35" s="287"/>
      <c r="Q35" s="287"/>
    </row>
    <row r="36" spans="9:18" x14ac:dyDescent="0.2">
      <c r="I36" s="287"/>
      <c r="J36" s="287"/>
      <c r="K36" s="287"/>
      <c r="L36" s="287"/>
      <c r="M36" s="287"/>
      <c r="N36" s="287"/>
      <c r="O36" s="287"/>
      <c r="P36" s="287"/>
      <c r="Q36" s="287"/>
    </row>
    <row r="37" spans="9:18" x14ac:dyDescent="0.2">
      <c r="I37" s="287"/>
      <c r="J37" s="287"/>
      <c r="K37" s="287"/>
      <c r="L37" s="287"/>
      <c r="M37" s="287"/>
      <c r="N37" s="287"/>
      <c r="O37" s="287"/>
      <c r="P37" s="287"/>
      <c r="Q37" s="287"/>
    </row>
    <row r="38" spans="9:18" x14ac:dyDescent="0.2">
      <c r="I38" s="287"/>
      <c r="J38" s="288"/>
      <c r="K38" s="288"/>
      <c r="L38" s="288"/>
      <c r="M38" s="288"/>
      <c r="N38" s="288"/>
      <c r="O38" s="288"/>
      <c r="P38" s="287"/>
      <c r="Q38" s="287"/>
    </row>
    <row r="39" spans="9:18" x14ac:dyDescent="0.2">
      <c r="I39" s="287"/>
      <c r="J39" s="288"/>
      <c r="K39" s="288"/>
      <c r="L39" s="288"/>
      <c r="M39" s="288"/>
      <c r="N39" s="288"/>
      <c r="O39" s="288"/>
      <c r="P39" s="287"/>
      <c r="Q39" s="287"/>
    </row>
    <row r="40" spans="9:18" x14ac:dyDescent="0.2">
      <c r="I40" s="287"/>
      <c r="J40" s="289"/>
      <c r="K40" s="290"/>
      <c r="L40" s="290"/>
      <c r="M40" s="289"/>
      <c r="N40" s="289"/>
      <c r="O40" s="289"/>
      <c r="P40" s="287"/>
      <c r="Q40" s="287"/>
    </row>
    <row r="41" spans="9:18" x14ac:dyDescent="0.2">
      <c r="I41" s="287"/>
      <c r="J41" s="291"/>
      <c r="K41" s="292"/>
      <c r="L41" s="292"/>
      <c r="M41" s="293"/>
      <c r="N41" s="293"/>
      <c r="O41" s="293"/>
      <c r="P41" s="287"/>
      <c r="Q41" s="304"/>
      <c r="R41" s="163">
        <f>Q41/6</f>
        <v>0</v>
      </c>
    </row>
    <row r="42" spans="9:18" x14ac:dyDescent="0.2">
      <c r="I42" s="287"/>
      <c r="J42" s="291"/>
      <c r="K42" s="292"/>
      <c r="L42" s="292"/>
      <c r="M42" s="299"/>
      <c r="N42" s="293"/>
      <c r="O42" s="293"/>
      <c r="P42" s="287"/>
      <c r="Q42" s="304"/>
      <c r="R42" s="163">
        <f>Q42/3</f>
        <v>0</v>
      </c>
    </row>
    <row r="43" spans="9:18" ht="15" customHeight="1" x14ac:dyDescent="0.2">
      <c r="I43" s="287"/>
      <c r="J43" s="294"/>
      <c r="K43" s="294"/>
      <c r="L43" s="294"/>
      <c r="M43" s="294"/>
      <c r="N43" s="295"/>
      <c r="O43" s="295"/>
      <c r="P43" s="287"/>
      <c r="Q43" s="287"/>
    </row>
    <row r="44" spans="9:18" ht="15" x14ac:dyDescent="0.2">
      <c r="I44" s="287"/>
      <c r="J44" s="296"/>
      <c r="K44" s="296"/>
      <c r="L44" s="296"/>
      <c r="M44" s="296"/>
      <c r="N44" s="297"/>
      <c r="O44" s="297"/>
      <c r="P44" s="287"/>
      <c r="Q44" s="287"/>
    </row>
    <row r="45" spans="9:18" ht="12.75" customHeight="1" x14ac:dyDescent="0.2">
      <c r="I45" s="287"/>
      <c r="J45" s="298"/>
      <c r="K45" s="298"/>
      <c r="L45" s="298"/>
      <c r="M45" s="298"/>
      <c r="N45" s="299"/>
      <c r="O45" s="299"/>
      <c r="P45" s="287"/>
      <c r="Q45" s="287"/>
    </row>
    <row r="46" spans="9:18" ht="12.75" customHeight="1" x14ac:dyDescent="0.2">
      <c r="I46" s="287"/>
      <c r="J46" s="298"/>
      <c r="K46" s="298"/>
      <c r="L46" s="298"/>
      <c r="M46" s="298"/>
      <c r="N46" s="299"/>
      <c r="O46" s="299"/>
      <c r="P46" s="287"/>
      <c r="Q46" s="287"/>
    </row>
    <row r="47" spans="9:18" ht="15.75" customHeight="1" x14ac:dyDescent="0.2">
      <c r="I47" s="287"/>
      <c r="J47" s="298"/>
      <c r="K47" s="298"/>
      <c r="L47" s="298"/>
      <c r="M47" s="298"/>
      <c r="N47" s="299"/>
      <c r="O47" s="299"/>
      <c r="P47" s="287"/>
      <c r="Q47" s="287"/>
    </row>
    <row r="48" spans="9:18" ht="15.75" customHeight="1" x14ac:dyDescent="0.2">
      <c r="I48" s="287"/>
      <c r="J48" s="298"/>
      <c r="K48" s="298"/>
      <c r="L48" s="298"/>
      <c r="M48" s="298"/>
      <c r="N48" s="299"/>
      <c r="O48" s="299"/>
      <c r="P48" s="287"/>
      <c r="Q48" s="287"/>
    </row>
    <row r="49" spans="9:18" ht="12.75" customHeight="1" x14ac:dyDescent="0.2">
      <c r="I49" s="287"/>
      <c r="J49" s="298"/>
      <c r="K49" s="298"/>
      <c r="L49" s="298"/>
      <c r="M49" s="298"/>
      <c r="N49" s="299"/>
      <c r="O49" s="299"/>
      <c r="P49" s="287"/>
      <c r="Q49" s="287"/>
    </row>
    <row r="50" spans="9:18" ht="12.75" customHeight="1" x14ac:dyDescent="0.2">
      <c r="I50" s="287"/>
      <c r="J50" s="298"/>
      <c r="K50" s="298"/>
      <c r="L50" s="298"/>
      <c r="M50" s="298"/>
      <c r="N50" s="299"/>
      <c r="O50" s="299"/>
      <c r="P50" s="287"/>
      <c r="Q50" s="287"/>
    </row>
    <row r="51" spans="9:18" ht="15.75" customHeight="1" x14ac:dyDescent="0.25">
      <c r="I51" s="287"/>
      <c r="J51" s="300"/>
      <c r="K51" s="300"/>
      <c r="L51" s="300"/>
      <c r="M51" s="300"/>
      <c r="N51" s="295"/>
      <c r="O51" s="301"/>
      <c r="P51" s="287"/>
      <c r="Q51" s="287"/>
    </row>
    <row r="52" spans="9:18" ht="15.75" customHeight="1" x14ac:dyDescent="0.25">
      <c r="I52" s="287"/>
      <c r="J52" s="300"/>
      <c r="K52" s="300"/>
      <c r="L52" s="300"/>
      <c r="M52" s="300"/>
      <c r="N52" s="302"/>
      <c r="O52" s="295"/>
      <c r="P52" s="287"/>
      <c r="Q52" s="287"/>
    </row>
    <row r="53" spans="9:18" x14ac:dyDescent="0.2">
      <c r="I53" s="287"/>
      <c r="J53" s="303"/>
      <c r="K53" s="303"/>
      <c r="L53" s="303"/>
      <c r="M53" s="303"/>
      <c r="N53" s="303"/>
      <c r="O53" s="303"/>
      <c r="P53" s="287"/>
      <c r="Q53" s="287"/>
    </row>
    <row r="54" spans="9:18" x14ac:dyDescent="0.2">
      <c r="I54" s="287"/>
      <c r="J54" s="287"/>
      <c r="K54" s="287"/>
      <c r="L54" s="287"/>
      <c r="M54" s="287"/>
      <c r="N54" s="287"/>
      <c r="O54" s="287"/>
      <c r="P54" s="287"/>
      <c r="Q54" s="287"/>
    </row>
    <row r="55" spans="9:18" x14ac:dyDescent="0.2">
      <c r="I55" s="287"/>
      <c r="J55" s="287"/>
      <c r="K55" s="287"/>
      <c r="L55" s="287"/>
      <c r="M55" s="287"/>
      <c r="N55" s="287"/>
      <c r="O55" s="287"/>
      <c r="P55" s="287"/>
      <c r="Q55" s="287"/>
    </row>
    <row r="56" spans="9:18" x14ac:dyDescent="0.2">
      <c r="I56" s="287"/>
      <c r="J56" s="288"/>
      <c r="K56" s="288"/>
      <c r="L56" s="288"/>
      <c r="M56" s="288"/>
      <c r="N56" s="288"/>
      <c r="O56" s="288"/>
      <c r="P56" s="287"/>
      <c r="Q56" s="287"/>
    </row>
    <row r="57" spans="9:18" ht="15" customHeight="1" x14ac:dyDescent="0.2">
      <c r="I57" s="287"/>
      <c r="J57" s="288"/>
      <c r="K57" s="288"/>
      <c r="L57" s="288"/>
      <c r="M57" s="288"/>
      <c r="N57" s="288"/>
      <c r="O57" s="288"/>
      <c r="P57" s="287"/>
      <c r="Q57" s="287"/>
    </row>
    <row r="58" spans="9:18" x14ac:dyDescent="0.2">
      <c r="I58" s="287"/>
      <c r="J58" s="289"/>
      <c r="K58" s="290"/>
      <c r="L58" s="290"/>
      <c r="M58" s="289"/>
      <c r="N58" s="289"/>
      <c r="O58" s="289"/>
      <c r="P58" s="287"/>
      <c r="Q58" s="287"/>
    </row>
    <row r="59" spans="9:18" ht="12.75" customHeight="1" x14ac:dyDescent="0.2">
      <c r="I59" s="287"/>
      <c r="J59" s="291"/>
      <c r="K59" s="292"/>
      <c r="L59" s="292"/>
      <c r="M59" s="293"/>
      <c r="N59" s="293"/>
      <c r="O59" s="293"/>
      <c r="P59" s="287"/>
      <c r="Q59" s="304"/>
      <c r="R59" s="163">
        <f>Q59/6</f>
        <v>0</v>
      </c>
    </row>
    <row r="60" spans="9:18" x14ac:dyDescent="0.2">
      <c r="I60" s="287"/>
      <c r="J60" s="291"/>
      <c r="K60" s="292"/>
      <c r="L60" s="292"/>
      <c r="M60" s="293"/>
      <c r="N60" s="293"/>
      <c r="O60" s="293"/>
      <c r="P60" s="287"/>
      <c r="Q60" s="304"/>
      <c r="R60" s="163">
        <f>Q60/3</f>
        <v>0</v>
      </c>
    </row>
    <row r="61" spans="9:18" ht="15.75" customHeight="1" x14ac:dyDescent="0.2">
      <c r="I61" s="287"/>
      <c r="J61" s="294"/>
      <c r="K61" s="294"/>
      <c r="L61" s="294"/>
      <c r="M61" s="294"/>
      <c r="N61" s="295"/>
      <c r="O61" s="295"/>
      <c r="P61" s="287"/>
      <c r="Q61" s="287"/>
    </row>
    <row r="62" spans="9:18" ht="15.75" customHeight="1" x14ac:dyDescent="0.2">
      <c r="I62" s="287"/>
      <c r="J62" s="296"/>
      <c r="K62" s="296"/>
      <c r="L62" s="296"/>
      <c r="M62" s="296"/>
      <c r="N62" s="297"/>
      <c r="O62" s="297"/>
      <c r="P62" s="287"/>
      <c r="Q62" s="287"/>
    </row>
    <row r="63" spans="9:18" ht="12.75" customHeight="1" x14ac:dyDescent="0.2">
      <c r="I63" s="287"/>
      <c r="J63" s="298"/>
      <c r="K63" s="298"/>
      <c r="L63" s="298"/>
      <c r="M63" s="298"/>
      <c r="N63" s="299"/>
      <c r="O63" s="299"/>
      <c r="P63" s="287"/>
      <c r="Q63" s="287"/>
    </row>
    <row r="64" spans="9:18" ht="12.75" customHeight="1" x14ac:dyDescent="0.2">
      <c r="I64" s="287"/>
      <c r="J64" s="298"/>
      <c r="K64" s="298"/>
      <c r="L64" s="298"/>
      <c r="M64" s="298"/>
      <c r="N64" s="299"/>
      <c r="O64" s="299"/>
      <c r="P64" s="287"/>
      <c r="Q64" s="287"/>
    </row>
    <row r="65" spans="9:17" ht="12.75" customHeight="1" x14ac:dyDescent="0.2">
      <c r="I65" s="287"/>
      <c r="J65" s="298"/>
      <c r="K65" s="298"/>
      <c r="L65" s="298"/>
      <c r="M65" s="298"/>
      <c r="N65" s="299"/>
      <c r="O65" s="299"/>
      <c r="P65" s="287"/>
      <c r="Q65" s="287"/>
    </row>
    <row r="66" spans="9:17" x14ac:dyDescent="0.2">
      <c r="I66" s="287"/>
      <c r="J66" s="298"/>
      <c r="K66" s="298"/>
      <c r="L66" s="298"/>
      <c r="M66" s="298"/>
      <c r="N66" s="299"/>
      <c r="O66" s="299"/>
      <c r="P66" s="287"/>
      <c r="Q66" s="287"/>
    </row>
    <row r="67" spans="9:17" ht="12.75" customHeight="1" x14ac:dyDescent="0.2">
      <c r="I67" s="287"/>
      <c r="J67" s="298"/>
      <c r="K67" s="298"/>
      <c r="L67" s="298"/>
      <c r="M67" s="298"/>
      <c r="N67" s="299"/>
      <c r="O67" s="299"/>
      <c r="P67" s="287"/>
      <c r="Q67" s="287"/>
    </row>
    <row r="68" spans="9:17" ht="12.75" customHeight="1" x14ac:dyDescent="0.2">
      <c r="I68" s="287"/>
      <c r="J68" s="298"/>
      <c r="K68" s="298"/>
      <c r="L68" s="298"/>
      <c r="M68" s="298"/>
      <c r="N68" s="299"/>
      <c r="O68" s="299"/>
      <c r="P68" s="287"/>
      <c r="Q68" s="287"/>
    </row>
    <row r="69" spans="9:17" ht="15.75" customHeight="1" x14ac:dyDescent="0.25">
      <c r="I69" s="287"/>
      <c r="J69" s="300"/>
      <c r="K69" s="300"/>
      <c r="L69" s="300"/>
      <c r="M69" s="300"/>
      <c r="N69" s="295"/>
      <c r="O69" s="301"/>
      <c r="P69" s="287"/>
      <c r="Q69" s="287"/>
    </row>
    <row r="70" spans="9:17" ht="15.75" customHeight="1" x14ac:dyDescent="0.25">
      <c r="I70" s="287"/>
      <c r="J70" s="300"/>
      <c r="K70" s="300"/>
      <c r="L70" s="300"/>
      <c r="M70" s="300"/>
      <c r="N70" s="302"/>
      <c r="O70" s="295"/>
      <c r="P70" s="287"/>
      <c r="Q70" s="287"/>
    </row>
    <row r="71" spans="9:17" ht="15" customHeight="1" x14ac:dyDescent="0.2">
      <c r="I71" s="287"/>
      <c r="J71" s="303"/>
      <c r="K71" s="303"/>
      <c r="L71" s="303"/>
      <c r="M71" s="303"/>
      <c r="N71" s="303"/>
      <c r="O71" s="303"/>
      <c r="P71" s="287"/>
      <c r="Q71" s="287"/>
    </row>
    <row r="72" spans="9:17" x14ac:dyDescent="0.2">
      <c r="I72" s="287"/>
      <c r="J72" s="287"/>
      <c r="K72" s="287"/>
      <c r="L72" s="287"/>
      <c r="M72" s="287"/>
      <c r="N72" s="287"/>
      <c r="O72" s="287"/>
      <c r="P72" s="287"/>
      <c r="Q72" s="287"/>
    </row>
    <row r="73" spans="9:17" ht="12.75" customHeight="1" x14ac:dyDescent="0.2">
      <c r="I73" s="287"/>
      <c r="J73" s="287"/>
      <c r="K73" s="287"/>
      <c r="L73" s="287"/>
      <c r="M73" s="287"/>
      <c r="N73" s="287"/>
      <c r="O73" s="287"/>
      <c r="P73" s="287"/>
      <c r="Q73" s="287"/>
    </row>
    <row r="74" spans="9:17" x14ac:dyDescent="0.2">
      <c r="I74" s="287"/>
      <c r="J74" s="288"/>
      <c r="K74" s="288"/>
      <c r="L74" s="288"/>
      <c r="M74" s="288"/>
      <c r="N74" s="288"/>
      <c r="O74" s="288"/>
      <c r="P74" s="287"/>
      <c r="Q74" s="287"/>
    </row>
    <row r="75" spans="9:17" ht="15.75" customHeight="1" x14ac:dyDescent="0.2">
      <c r="I75" s="287"/>
      <c r="J75" s="288"/>
      <c r="K75" s="288"/>
      <c r="L75" s="288"/>
      <c r="M75" s="288"/>
      <c r="N75" s="288"/>
      <c r="O75" s="288"/>
      <c r="P75" s="287"/>
      <c r="Q75" s="287"/>
    </row>
    <row r="76" spans="9:17" ht="26.25" customHeight="1" x14ac:dyDescent="0.2">
      <c r="I76" s="287"/>
      <c r="J76" s="289"/>
      <c r="K76" s="290"/>
      <c r="L76" s="290"/>
      <c r="M76" s="289"/>
      <c r="N76" s="289"/>
      <c r="O76" s="289"/>
      <c r="P76" s="287"/>
      <c r="Q76" s="287"/>
    </row>
    <row r="77" spans="9:17" x14ac:dyDescent="0.2">
      <c r="I77" s="287"/>
      <c r="J77" s="291"/>
      <c r="K77" s="292"/>
      <c r="L77" s="292"/>
      <c r="M77" s="293"/>
      <c r="N77" s="293"/>
      <c r="O77" s="293"/>
      <c r="P77" s="287"/>
      <c r="Q77" s="287"/>
    </row>
    <row r="78" spans="9:17" x14ac:dyDescent="0.2">
      <c r="I78" s="287"/>
      <c r="J78" s="291"/>
      <c r="K78" s="292"/>
      <c r="L78" s="292"/>
      <c r="M78" s="299"/>
      <c r="N78" s="293"/>
      <c r="O78" s="293"/>
      <c r="P78" s="287"/>
      <c r="Q78" s="287"/>
    </row>
    <row r="79" spans="9:17" ht="15" customHeight="1" x14ac:dyDescent="0.2">
      <c r="I79" s="287"/>
      <c r="J79" s="294"/>
      <c r="K79" s="294"/>
      <c r="L79" s="294"/>
      <c r="M79" s="294"/>
      <c r="N79" s="295"/>
      <c r="O79" s="295"/>
      <c r="P79" s="287"/>
      <c r="Q79" s="287"/>
    </row>
    <row r="80" spans="9:17" ht="15" x14ac:dyDescent="0.2">
      <c r="I80" s="287"/>
      <c r="J80" s="296"/>
      <c r="K80" s="296"/>
      <c r="L80" s="296"/>
      <c r="M80" s="296"/>
      <c r="N80" s="297"/>
      <c r="O80" s="297"/>
      <c r="P80" s="287"/>
      <c r="Q80" s="287"/>
    </row>
    <row r="81" spans="9:17" ht="12.75" customHeight="1" x14ac:dyDescent="0.2">
      <c r="I81" s="287"/>
      <c r="J81" s="298"/>
      <c r="K81" s="298"/>
      <c r="L81" s="298"/>
      <c r="M81" s="298"/>
      <c r="N81" s="299"/>
      <c r="O81" s="299"/>
      <c r="P81" s="287"/>
      <c r="Q81" s="287"/>
    </row>
    <row r="82" spans="9:17" ht="12.75" customHeight="1" x14ac:dyDescent="0.2">
      <c r="I82" s="287"/>
      <c r="J82" s="298"/>
      <c r="K82" s="298"/>
      <c r="L82" s="298"/>
      <c r="M82" s="298"/>
      <c r="N82" s="299"/>
      <c r="O82" s="299"/>
      <c r="P82" s="287"/>
      <c r="Q82" s="287"/>
    </row>
    <row r="83" spans="9:17" ht="12.75" customHeight="1" x14ac:dyDescent="0.2">
      <c r="I83" s="287"/>
      <c r="J83" s="298"/>
      <c r="K83" s="298"/>
      <c r="L83" s="298"/>
      <c r="M83" s="298"/>
      <c r="N83" s="299"/>
      <c r="O83" s="299"/>
      <c r="P83" s="287"/>
      <c r="Q83" s="287"/>
    </row>
    <row r="84" spans="9:17" x14ac:dyDescent="0.2">
      <c r="I84" s="287"/>
      <c r="J84" s="298"/>
      <c r="K84" s="298"/>
      <c r="L84" s="298"/>
      <c r="M84" s="298"/>
      <c r="N84" s="299"/>
      <c r="O84" s="299"/>
      <c r="P84" s="287"/>
      <c r="Q84" s="287"/>
    </row>
    <row r="85" spans="9:17" ht="12.75" customHeight="1" x14ac:dyDescent="0.2">
      <c r="I85" s="287"/>
      <c r="J85" s="298"/>
      <c r="K85" s="298"/>
      <c r="L85" s="298"/>
      <c r="M85" s="298"/>
      <c r="N85" s="299"/>
      <c r="O85" s="299"/>
      <c r="P85" s="287"/>
      <c r="Q85" s="287"/>
    </row>
    <row r="86" spans="9:17" ht="12.75" customHeight="1" x14ac:dyDescent="0.2">
      <c r="I86" s="287"/>
      <c r="J86" s="298"/>
      <c r="K86" s="298"/>
      <c r="L86" s="298"/>
      <c r="M86" s="298"/>
      <c r="N86" s="299"/>
      <c r="O86" s="299"/>
      <c r="P86" s="287"/>
      <c r="Q86" s="287"/>
    </row>
    <row r="87" spans="9:17" ht="15.75" customHeight="1" x14ac:dyDescent="0.25">
      <c r="I87" s="287"/>
      <c r="J87" s="300"/>
      <c r="K87" s="300"/>
      <c r="L87" s="300"/>
      <c r="M87" s="300"/>
      <c r="N87" s="295"/>
      <c r="O87" s="301"/>
      <c r="P87" s="287"/>
      <c r="Q87" s="304"/>
    </row>
    <row r="88" spans="9:17" ht="15.75" customHeight="1" x14ac:dyDescent="0.25">
      <c r="I88" s="287"/>
      <c r="J88" s="300"/>
      <c r="K88" s="300"/>
      <c r="L88" s="300"/>
      <c r="M88" s="300"/>
      <c r="N88" s="302"/>
      <c r="O88" s="295"/>
      <c r="P88" s="287"/>
      <c r="Q88" s="287"/>
    </row>
    <row r="89" spans="9:17" x14ac:dyDescent="0.2">
      <c r="I89" s="287"/>
      <c r="J89" s="303"/>
      <c r="K89" s="303"/>
      <c r="L89" s="303"/>
      <c r="M89" s="303"/>
      <c r="N89" s="303"/>
      <c r="O89" s="303"/>
      <c r="P89" s="287"/>
      <c r="Q89" s="287"/>
    </row>
    <row r="90" spans="9:17" x14ac:dyDescent="0.2">
      <c r="I90" s="287"/>
      <c r="J90" s="287"/>
      <c r="K90" s="287"/>
      <c r="L90" s="287"/>
      <c r="M90" s="287"/>
      <c r="N90" s="287"/>
      <c r="O90" s="287"/>
      <c r="P90" s="287"/>
      <c r="Q90" s="287"/>
    </row>
    <row r="91" spans="9:17" x14ac:dyDescent="0.2">
      <c r="I91" s="287"/>
      <c r="J91" s="287"/>
      <c r="K91" s="287"/>
      <c r="L91" s="287"/>
      <c r="M91" s="287"/>
      <c r="N91" s="287"/>
      <c r="O91" s="287"/>
      <c r="P91" s="287"/>
      <c r="Q91" s="287"/>
    </row>
    <row r="92" spans="9:17" x14ac:dyDescent="0.2">
      <c r="I92" s="287"/>
      <c r="J92" s="288"/>
      <c r="K92" s="288"/>
      <c r="L92" s="288"/>
      <c r="M92" s="288"/>
      <c r="N92" s="288"/>
      <c r="O92" s="288"/>
      <c r="P92" s="287"/>
      <c r="Q92" s="287"/>
    </row>
    <row r="93" spans="9:17" x14ac:dyDescent="0.2">
      <c r="I93" s="287"/>
      <c r="J93" s="288"/>
      <c r="K93" s="288"/>
      <c r="L93" s="288"/>
      <c r="M93" s="288"/>
      <c r="N93" s="288"/>
      <c r="O93" s="288"/>
      <c r="P93" s="287"/>
      <c r="Q93" s="287"/>
    </row>
    <row r="94" spans="9:17" x14ac:dyDescent="0.2">
      <c r="I94" s="287"/>
      <c r="J94" s="289"/>
      <c r="K94" s="290"/>
      <c r="L94" s="290"/>
      <c r="M94" s="289"/>
      <c r="N94" s="289"/>
      <c r="O94" s="289"/>
      <c r="P94" s="287"/>
      <c r="Q94" s="287"/>
    </row>
    <row r="95" spans="9:17" x14ac:dyDescent="0.2">
      <c r="I95" s="287"/>
      <c r="J95" s="291"/>
      <c r="K95" s="292"/>
      <c r="L95" s="292"/>
      <c r="M95" s="293"/>
      <c r="N95" s="293"/>
      <c r="O95" s="293"/>
      <c r="P95" s="287"/>
      <c r="Q95" s="287"/>
    </row>
    <row r="96" spans="9:17" x14ac:dyDescent="0.2">
      <c r="I96" s="287"/>
      <c r="J96" s="291"/>
      <c r="K96" s="292"/>
      <c r="L96" s="292"/>
      <c r="M96" s="293"/>
      <c r="N96" s="293"/>
      <c r="O96" s="293"/>
      <c r="P96" s="287"/>
      <c r="Q96" s="287"/>
    </row>
    <row r="97" spans="9:17" ht="15" customHeight="1" x14ac:dyDescent="0.2">
      <c r="I97" s="287"/>
      <c r="J97" s="294"/>
      <c r="K97" s="294"/>
      <c r="L97" s="294"/>
      <c r="M97" s="294"/>
      <c r="N97" s="295"/>
      <c r="O97" s="295"/>
      <c r="P97" s="287"/>
      <c r="Q97" s="287"/>
    </row>
    <row r="98" spans="9:17" ht="15" x14ac:dyDescent="0.2">
      <c r="I98" s="287"/>
      <c r="J98" s="296"/>
      <c r="K98" s="296"/>
      <c r="L98" s="296"/>
      <c r="M98" s="296"/>
      <c r="N98" s="297"/>
      <c r="O98" s="297"/>
      <c r="P98" s="287"/>
      <c r="Q98" s="287"/>
    </row>
    <row r="99" spans="9:17" ht="12.75" customHeight="1" x14ac:dyDescent="0.2">
      <c r="I99" s="287"/>
      <c r="J99" s="298"/>
      <c r="K99" s="298"/>
      <c r="L99" s="298"/>
      <c r="M99" s="298"/>
      <c r="N99" s="299"/>
      <c r="O99" s="299"/>
      <c r="P99" s="287"/>
      <c r="Q99" s="287"/>
    </row>
    <row r="100" spans="9:17" ht="12.75" customHeight="1" x14ac:dyDescent="0.2">
      <c r="I100" s="287"/>
      <c r="J100" s="298"/>
      <c r="K100" s="298"/>
      <c r="L100" s="298"/>
      <c r="M100" s="298"/>
      <c r="N100" s="299"/>
      <c r="O100" s="299"/>
      <c r="P100" s="287"/>
      <c r="Q100" s="287"/>
    </row>
    <row r="101" spans="9:17" ht="12.75" customHeight="1" x14ac:dyDescent="0.2">
      <c r="I101" s="287"/>
      <c r="J101" s="298"/>
      <c r="K101" s="298"/>
      <c r="L101" s="298"/>
      <c r="M101" s="298"/>
      <c r="N101" s="299"/>
      <c r="O101" s="299"/>
      <c r="P101" s="287"/>
      <c r="Q101" s="287"/>
    </row>
    <row r="102" spans="9:17" x14ac:dyDescent="0.2">
      <c r="I102" s="287"/>
      <c r="J102" s="298"/>
      <c r="K102" s="298"/>
      <c r="L102" s="298"/>
      <c r="M102" s="298"/>
      <c r="N102" s="299"/>
      <c r="O102" s="299"/>
      <c r="P102" s="287"/>
      <c r="Q102" s="287"/>
    </row>
    <row r="103" spans="9:17" ht="12.75" customHeight="1" x14ac:dyDescent="0.2">
      <c r="I103" s="287"/>
      <c r="J103" s="298"/>
      <c r="K103" s="298"/>
      <c r="L103" s="298"/>
      <c r="M103" s="298"/>
      <c r="N103" s="299"/>
      <c r="O103" s="299"/>
      <c r="P103" s="287"/>
      <c r="Q103" s="287"/>
    </row>
    <row r="104" spans="9:17" ht="12.75" customHeight="1" x14ac:dyDescent="0.2">
      <c r="I104" s="287"/>
      <c r="J104" s="298"/>
      <c r="K104" s="298"/>
      <c r="L104" s="298"/>
      <c r="M104" s="298"/>
      <c r="N104" s="299"/>
      <c r="O104" s="299"/>
      <c r="P104" s="287"/>
      <c r="Q104" s="287"/>
    </row>
    <row r="105" spans="9:17" ht="15.75" customHeight="1" x14ac:dyDescent="0.25">
      <c r="I105" s="287"/>
      <c r="J105" s="300"/>
      <c r="K105" s="300"/>
      <c r="L105" s="300"/>
      <c r="M105" s="300"/>
      <c r="N105" s="295"/>
      <c r="O105" s="301"/>
      <c r="P105" s="287"/>
      <c r="Q105" s="287"/>
    </row>
    <row r="106" spans="9:17" ht="15.75" customHeight="1" x14ac:dyDescent="0.25">
      <c r="I106" s="287"/>
      <c r="J106" s="300"/>
      <c r="K106" s="300"/>
      <c r="L106" s="300"/>
      <c r="M106" s="300"/>
      <c r="N106" s="302"/>
      <c r="O106" s="295"/>
      <c r="P106" s="287"/>
      <c r="Q106" s="287"/>
    </row>
    <row r="107" spans="9:17" x14ac:dyDescent="0.2">
      <c r="I107" s="287"/>
      <c r="J107" s="303"/>
      <c r="K107" s="303"/>
      <c r="L107" s="303"/>
      <c r="M107" s="303"/>
      <c r="N107" s="303"/>
      <c r="O107" s="303"/>
      <c r="P107" s="287"/>
      <c r="Q107" s="287"/>
    </row>
    <row r="108" spans="9:17" x14ac:dyDescent="0.2">
      <c r="I108" s="287"/>
      <c r="J108" s="287"/>
      <c r="K108" s="287"/>
      <c r="L108" s="287"/>
      <c r="M108" s="287"/>
      <c r="N108" s="287"/>
      <c r="O108" s="287"/>
      <c r="P108" s="287"/>
      <c r="Q108" s="287"/>
    </row>
    <row r="109" spans="9:17" x14ac:dyDescent="0.2">
      <c r="I109" s="287"/>
      <c r="J109" s="287"/>
      <c r="K109" s="287"/>
      <c r="L109" s="287"/>
      <c r="M109" s="287"/>
      <c r="N109" s="287"/>
      <c r="O109" s="287"/>
      <c r="P109" s="287"/>
      <c r="Q109" s="287"/>
    </row>
    <row r="110" spans="9:17" x14ac:dyDescent="0.2">
      <c r="I110" s="287"/>
      <c r="J110" s="288"/>
      <c r="K110" s="288"/>
      <c r="L110" s="288"/>
      <c r="M110" s="288"/>
      <c r="N110" s="288"/>
      <c r="O110" s="288"/>
      <c r="P110" s="287"/>
      <c r="Q110" s="287"/>
    </row>
    <row r="111" spans="9:17" x14ac:dyDescent="0.2">
      <c r="I111" s="287"/>
      <c r="J111" s="288"/>
      <c r="K111" s="288"/>
      <c r="L111" s="288"/>
      <c r="M111" s="288"/>
      <c r="N111" s="288"/>
      <c r="O111" s="288"/>
      <c r="P111" s="287"/>
      <c r="Q111" s="287"/>
    </row>
    <row r="112" spans="9:17" x14ac:dyDescent="0.2">
      <c r="I112" s="287"/>
      <c r="J112" s="289"/>
      <c r="K112" s="290"/>
      <c r="L112" s="290"/>
      <c r="M112" s="289"/>
      <c r="N112" s="289"/>
      <c r="O112" s="289"/>
      <c r="P112" s="287"/>
      <c r="Q112" s="287"/>
    </row>
    <row r="113" spans="9:17" x14ac:dyDescent="0.2">
      <c r="I113" s="287"/>
      <c r="J113" s="291"/>
      <c r="K113" s="292"/>
      <c r="L113" s="292"/>
      <c r="M113" s="293"/>
      <c r="N113" s="293"/>
      <c r="O113" s="293"/>
      <c r="P113" s="287"/>
      <c r="Q113" s="287"/>
    </row>
    <row r="114" spans="9:17" x14ac:dyDescent="0.2">
      <c r="I114" s="287"/>
      <c r="J114" s="291"/>
      <c r="K114" s="292"/>
      <c r="L114" s="292"/>
      <c r="M114" s="293"/>
      <c r="N114" s="293"/>
      <c r="O114" s="293"/>
      <c r="P114" s="287"/>
      <c r="Q114" s="287"/>
    </row>
    <row r="115" spans="9:17" ht="15" customHeight="1" x14ac:dyDescent="0.2">
      <c r="I115" s="287"/>
      <c r="J115" s="294"/>
      <c r="K115" s="294"/>
      <c r="L115" s="294"/>
      <c r="M115" s="294"/>
      <c r="N115" s="295"/>
      <c r="O115" s="295"/>
      <c r="P115" s="287"/>
      <c r="Q115" s="287"/>
    </row>
    <row r="116" spans="9:17" ht="15" x14ac:dyDescent="0.2">
      <c r="I116" s="287"/>
      <c r="J116" s="296"/>
      <c r="K116" s="296"/>
      <c r="L116" s="296"/>
      <c r="M116" s="296"/>
      <c r="N116" s="297"/>
      <c r="O116" s="297"/>
      <c r="P116" s="287"/>
      <c r="Q116" s="287"/>
    </row>
    <row r="117" spans="9:17" ht="12.75" customHeight="1" x14ac:dyDescent="0.2">
      <c r="I117" s="287"/>
      <c r="J117" s="298"/>
      <c r="K117" s="298"/>
      <c r="L117" s="298"/>
      <c r="M117" s="298"/>
      <c r="N117" s="299"/>
      <c r="O117" s="299"/>
      <c r="P117" s="287"/>
      <c r="Q117" s="287"/>
    </row>
    <row r="118" spans="9:17" ht="12.75" customHeight="1" x14ac:dyDescent="0.2">
      <c r="I118" s="287"/>
      <c r="J118" s="298"/>
      <c r="K118" s="298"/>
      <c r="L118" s="298"/>
      <c r="M118" s="298"/>
      <c r="N118" s="299"/>
      <c r="O118" s="299"/>
      <c r="P118" s="287"/>
      <c r="Q118" s="287"/>
    </row>
    <row r="119" spans="9:17" ht="12.75" customHeight="1" x14ac:dyDescent="0.2">
      <c r="I119" s="287"/>
      <c r="J119" s="298"/>
      <c r="K119" s="298"/>
      <c r="L119" s="298"/>
      <c r="M119" s="298"/>
      <c r="N119" s="299"/>
      <c r="O119" s="299"/>
      <c r="P119" s="287"/>
      <c r="Q119" s="287"/>
    </row>
    <row r="120" spans="9:17" x14ac:dyDescent="0.2">
      <c r="I120" s="287"/>
      <c r="J120" s="298"/>
      <c r="K120" s="298"/>
      <c r="L120" s="298"/>
      <c r="M120" s="298"/>
      <c r="N120" s="299"/>
      <c r="O120" s="299"/>
      <c r="P120" s="287"/>
      <c r="Q120" s="287"/>
    </row>
    <row r="121" spans="9:17" ht="12.75" customHeight="1" x14ac:dyDescent="0.2">
      <c r="I121" s="287"/>
      <c r="J121" s="298"/>
      <c r="K121" s="298"/>
      <c r="L121" s="298"/>
      <c r="M121" s="298"/>
      <c r="N121" s="299"/>
      <c r="O121" s="299"/>
      <c r="P121" s="287"/>
      <c r="Q121" s="287"/>
    </row>
    <row r="122" spans="9:17" ht="12.75" customHeight="1" x14ac:dyDescent="0.2">
      <c r="I122" s="287"/>
      <c r="J122" s="298"/>
      <c r="K122" s="298"/>
      <c r="L122" s="298"/>
      <c r="M122" s="298"/>
      <c r="N122" s="299"/>
      <c r="O122" s="299"/>
      <c r="P122" s="287"/>
      <c r="Q122" s="287"/>
    </row>
    <row r="123" spans="9:17" ht="15.75" customHeight="1" x14ac:dyDescent="0.25">
      <c r="I123" s="287"/>
      <c r="J123" s="300"/>
      <c r="K123" s="300"/>
      <c r="L123" s="300"/>
      <c r="M123" s="300"/>
      <c r="N123" s="295"/>
      <c r="O123" s="301"/>
      <c r="P123" s="287"/>
      <c r="Q123" s="287"/>
    </row>
    <row r="124" spans="9:17" ht="15.75" customHeight="1" x14ac:dyDescent="0.25">
      <c r="I124" s="287"/>
      <c r="J124" s="300"/>
      <c r="K124" s="300"/>
      <c r="L124" s="300"/>
      <c r="M124" s="300"/>
      <c r="N124" s="302"/>
      <c r="O124" s="295"/>
      <c r="P124" s="287"/>
      <c r="Q124" s="287"/>
    </row>
    <row r="125" spans="9:17" x14ac:dyDescent="0.2">
      <c r="I125" s="287"/>
      <c r="J125" s="303"/>
      <c r="K125" s="303"/>
      <c r="L125" s="303"/>
      <c r="M125" s="303"/>
      <c r="N125" s="303"/>
      <c r="O125" s="303"/>
      <c r="P125" s="287"/>
      <c r="Q125" s="287"/>
    </row>
    <row r="126" spans="9:17" x14ac:dyDescent="0.2">
      <c r="I126" s="287"/>
      <c r="J126" s="287"/>
      <c r="K126" s="287"/>
      <c r="L126" s="287"/>
      <c r="M126" s="287"/>
      <c r="N126" s="287"/>
      <c r="O126" s="287"/>
      <c r="P126" s="287"/>
      <c r="Q126" s="287"/>
    </row>
  </sheetData>
  <mergeCells count="145">
    <mergeCell ref="A24:D24"/>
    <mergeCell ref="A25:D25"/>
    <mergeCell ref="A26:D26"/>
    <mergeCell ref="A27:D27"/>
    <mergeCell ref="A28:D28"/>
    <mergeCell ref="A29:D29"/>
    <mergeCell ref="A30:D30"/>
    <mergeCell ref="A31:D31"/>
    <mergeCell ref="K7:L7"/>
    <mergeCell ref="J8:M8"/>
    <mergeCell ref="A17:F17"/>
    <mergeCell ref="A18:F18"/>
    <mergeCell ref="B19:C19"/>
    <mergeCell ref="B20:C20"/>
    <mergeCell ref="B21:C21"/>
    <mergeCell ref="A22:D22"/>
    <mergeCell ref="A23:D23"/>
    <mergeCell ref="R3:W3"/>
    <mergeCell ref="R4:W4"/>
    <mergeCell ref="S5:T5"/>
    <mergeCell ref="S6:T6"/>
    <mergeCell ref="S7:T7"/>
    <mergeCell ref="A4:F4"/>
    <mergeCell ref="A11:D11"/>
    <mergeCell ref="A12:D12"/>
    <mergeCell ref="A13:D13"/>
    <mergeCell ref="B5:C5"/>
    <mergeCell ref="B6:C6"/>
    <mergeCell ref="B7:C7"/>
    <mergeCell ref="A8:D8"/>
    <mergeCell ref="A9:D9"/>
    <mergeCell ref="A10:D10"/>
    <mergeCell ref="J3:O3"/>
    <mergeCell ref="J9:M9"/>
    <mergeCell ref="J10:M10"/>
    <mergeCell ref="J11:M11"/>
    <mergeCell ref="J12:M12"/>
    <mergeCell ref="J13:M13"/>
    <mergeCell ref="J4:O4"/>
    <mergeCell ref="K5:L5"/>
    <mergeCell ref="K6:L6"/>
    <mergeCell ref="R13:U13"/>
    <mergeCell ref="R14:W14"/>
    <mergeCell ref="J20:O20"/>
    <mergeCell ref="J21:O21"/>
    <mergeCell ref="K22:L22"/>
    <mergeCell ref="R8:U8"/>
    <mergeCell ref="R9:U9"/>
    <mergeCell ref="R10:U10"/>
    <mergeCell ref="R11:U11"/>
    <mergeCell ref="R12:U12"/>
    <mergeCell ref="J14:O14"/>
    <mergeCell ref="J30:M30"/>
    <mergeCell ref="J33:M33"/>
    <mergeCell ref="J34:M34"/>
    <mergeCell ref="J35:O35"/>
    <mergeCell ref="J38:O38"/>
    <mergeCell ref="K23:L23"/>
    <mergeCell ref="K24:L24"/>
    <mergeCell ref="J25:M25"/>
    <mergeCell ref="J26:M26"/>
    <mergeCell ref="J27:M27"/>
    <mergeCell ref="J44:M44"/>
    <mergeCell ref="J45:M45"/>
    <mergeCell ref="J46:M46"/>
    <mergeCell ref="J47:M47"/>
    <mergeCell ref="J48:M48"/>
    <mergeCell ref="J39:O39"/>
    <mergeCell ref="K40:L40"/>
    <mergeCell ref="K41:L41"/>
    <mergeCell ref="K42:L42"/>
    <mergeCell ref="J43:M43"/>
    <mergeCell ref="J67:M67"/>
    <mergeCell ref="J56:O56"/>
    <mergeCell ref="J57:O57"/>
    <mergeCell ref="K58:L58"/>
    <mergeCell ref="K59:L59"/>
    <mergeCell ref="K60:L60"/>
    <mergeCell ref="J53:O53"/>
    <mergeCell ref="J50:M50"/>
    <mergeCell ref="J51:M51"/>
    <mergeCell ref="J52:M52"/>
    <mergeCell ref="K78:L78"/>
    <mergeCell ref="J79:M79"/>
    <mergeCell ref="J80:M80"/>
    <mergeCell ref="J81:M81"/>
    <mergeCell ref="J82:M82"/>
    <mergeCell ref="J28:M28"/>
    <mergeCell ref="J29:M29"/>
    <mergeCell ref="J31:M31"/>
    <mergeCell ref="J32:M32"/>
    <mergeCell ref="J49:M49"/>
    <mergeCell ref="J74:O74"/>
    <mergeCell ref="J75:O75"/>
    <mergeCell ref="K76:L76"/>
    <mergeCell ref="K77:L77"/>
    <mergeCell ref="J68:M68"/>
    <mergeCell ref="J69:M69"/>
    <mergeCell ref="J70:M70"/>
    <mergeCell ref="J71:O71"/>
    <mergeCell ref="J61:M61"/>
    <mergeCell ref="J62:M62"/>
    <mergeCell ref="J63:M63"/>
    <mergeCell ref="J64:M64"/>
    <mergeCell ref="J65:M65"/>
    <mergeCell ref="J66:M66"/>
    <mergeCell ref="J88:M88"/>
    <mergeCell ref="J89:O89"/>
    <mergeCell ref="J92:O92"/>
    <mergeCell ref="J93:O93"/>
    <mergeCell ref="K94:L94"/>
    <mergeCell ref="J83:M83"/>
    <mergeCell ref="J84:M84"/>
    <mergeCell ref="J85:M85"/>
    <mergeCell ref="J86:M86"/>
    <mergeCell ref="J87:M87"/>
    <mergeCell ref="J100:M100"/>
    <mergeCell ref="J101:M101"/>
    <mergeCell ref="J102:M102"/>
    <mergeCell ref="J103:M103"/>
    <mergeCell ref="J104:M104"/>
    <mergeCell ref="K95:L95"/>
    <mergeCell ref="K96:L96"/>
    <mergeCell ref="J97:M97"/>
    <mergeCell ref="J98:M98"/>
    <mergeCell ref="J99:M99"/>
    <mergeCell ref="K112:L112"/>
    <mergeCell ref="K113:L113"/>
    <mergeCell ref="K114:L114"/>
    <mergeCell ref="J115:M115"/>
    <mergeCell ref="J116:M116"/>
    <mergeCell ref="J105:M105"/>
    <mergeCell ref="J106:M106"/>
    <mergeCell ref="J107:O107"/>
    <mergeCell ref="J110:O110"/>
    <mergeCell ref="J111:O111"/>
    <mergeCell ref="J122:M122"/>
    <mergeCell ref="J123:M123"/>
    <mergeCell ref="J124:M124"/>
    <mergeCell ref="J125:O125"/>
    <mergeCell ref="J117:M117"/>
    <mergeCell ref="J118:M118"/>
    <mergeCell ref="J119:M119"/>
    <mergeCell ref="J120:M120"/>
    <mergeCell ref="J121:M121"/>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18"/>
  <sheetViews>
    <sheetView tabSelected="1" topLeftCell="A88" workbookViewId="0">
      <selection activeCell="B121" sqref="B121"/>
    </sheetView>
  </sheetViews>
  <sheetFormatPr defaultRowHeight="12.75" x14ac:dyDescent="0.2"/>
  <cols>
    <col min="1" max="1" width="3.85546875" bestFit="1" customWidth="1"/>
    <col min="2" max="2" width="70.140625" bestFit="1" customWidth="1"/>
    <col min="3" max="3" width="11.7109375" customWidth="1"/>
    <col min="4" max="4" width="19.7109375" customWidth="1"/>
    <col min="5" max="5" width="11.7109375" customWidth="1"/>
    <col min="6" max="6" width="19.7109375" customWidth="1"/>
    <col min="7" max="7" width="10.28515625" bestFit="1" customWidth="1"/>
    <col min="9" max="9" width="14.28515625" bestFit="1" customWidth="1"/>
  </cols>
  <sheetData>
    <row r="1" spans="1:6" ht="13.5" thickBot="1" x14ac:dyDescent="0.25"/>
    <row r="2" spans="1:6" ht="37.5" customHeight="1" thickBot="1" x14ac:dyDescent="0.25">
      <c r="A2" s="241" t="s">
        <v>59</v>
      </c>
      <c r="B2" s="242"/>
      <c r="C2" s="242"/>
      <c r="D2" s="242"/>
      <c r="E2" s="113"/>
      <c r="F2" s="114"/>
    </row>
    <row r="3" spans="1:6" ht="15" x14ac:dyDescent="0.25">
      <c r="A3" s="243" t="s">
        <v>60</v>
      </c>
      <c r="B3" s="244"/>
      <c r="C3" s="245"/>
      <c r="D3" s="245"/>
      <c r="E3" s="72"/>
      <c r="F3" s="72"/>
    </row>
    <row r="4" spans="1:6" ht="23.25" x14ac:dyDescent="0.35">
      <c r="A4" s="246" t="s">
        <v>61</v>
      </c>
      <c r="B4" s="247"/>
      <c r="C4" s="249" t="s">
        <v>99</v>
      </c>
      <c r="D4" s="250"/>
      <c r="E4" s="249" t="s">
        <v>100</v>
      </c>
      <c r="F4" s="250"/>
    </row>
    <row r="5" spans="1:6" ht="15" x14ac:dyDescent="0.25">
      <c r="A5" s="246" t="s">
        <v>62</v>
      </c>
      <c r="B5" s="247"/>
      <c r="C5" s="251">
        <v>3</v>
      </c>
      <c r="D5" s="252"/>
      <c r="E5" s="251">
        <v>6</v>
      </c>
      <c r="F5" s="252"/>
    </row>
    <row r="6" spans="1:6" ht="15.75" thickBot="1" x14ac:dyDescent="0.25">
      <c r="A6" s="225" t="s">
        <v>63</v>
      </c>
      <c r="B6" s="226"/>
      <c r="C6" s="248"/>
      <c r="D6" s="248"/>
      <c r="E6" s="73"/>
      <c r="F6" s="73"/>
    </row>
    <row r="7" spans="1:6" ht="15" x14ac:dyDescent="0.2">
      <c r="A7" s="59">
        <v>1</v>
      </c>
      <c r="B7" s="32" t="s">
        <v>64</v>
      </c>
      <c r="C7" s="183"/>
      <c r="D7" s="184"/>
      <c r="E7" s="183"/>
      <c r="F7" s="184"/>
    </row>
    <row r="8" spans="1:6" ht="15" x14ac:dyDescent="0.2">
      <c r="A8" s="59">
        <v>2</v>
      </c>
      <c r="B8" s="32" t="s">
        <v>20</v>
      </c>
      <c r="C8" s="185" t="s">
        <v>181</v>
      </c>
      <c r="D8" s="186"/>
      <c r="E8" s="185" t="s">
        <v>180</v>
      </c>
      <c r="F8" s="186"/>
    </row>
    <row r="9" spans="1:6" ht="15" x14ac:dyDescent="0.2">
      <c r="A9" s="59">
        <v>3</v>
      </c>
      <c r="B9" s="32" t="s">
        <v>65</v>
      </c>
      <c r="C9" s="191">
        <v>1629.62</v>
      </c>
      <c r="D9" s="192"/>
      <c r="E9" s="187">
        <v>2405.96</v>
      </c>
      <c r="F9" s="188"/>
    </row>
    <row r="10" spans="1:6" ht="15" x14ac:dyDescent="0.2">
      <c r="A10" s="59">
        <v>4</v>
      </c>
      <c r="B10" s="32" t="s">
        <v>5</v>
      </c>
      <c r="C10" s="185" t="str">
        <f>C4</f>
        <v>Copeira</v>
      </c>
      <c r="D10" s="186"/>
      <c r="E10" s="185" t="str">
        <f>E4</f>
        <v>Garçom</v>
      </c>
      <c r="F10" s="186"/>
    </row>
    <row r="11" spans="1:6" ht="15.75" thickBot="1" x14ac:dyDescent="0.25">
      <c r="A11" s="7">
        <v>5</v>
      </c>
      <c r="B11" s="32" t="s">
        <v>4</v>
      </c>
      <c r="C11" s="189">
        <v>45292</v>
      </c>
      <c r="D11" s="190"/>
      <c r="E11" s="189">
        <v>45292</v>
      </c>
      <c r="F11" s="190"/>
    </row>
    <row r="12" spans="1:6" ht="15.75" thickBot="1" x14ac:dyDescent="0.25">
      <c r="A12" s="8"/>
      <c r="B12" s="8"/>
      <c r="C12" s="8"/>
      <c r="D12" s="8"/>
      <c r="E12" s="8"/>
      <c r="F12" s="8"/>
    </row>
    <row r="13" spans="1:6" ht="15.75" thickBot="1" x14ac:dyDescent="0.25">
      <c r="A13" s="237" t="s">
        <v>54</v>
      </c>
      <c r="B13" s="238"/>
      <c r="C13" s="238"/>
      <c r="D13" s="239"/>
      <c r="E13" s="115"/>
      <c r="F13" s="114"/>
    </row>
    <row r="14" spans="1:6" ht="15" customHeight="1" x14ac:dyDescent="0.2">
      <c r="A14" s="56">
        <v>1</v>
      </c>
      <c r="B14" s="57" t="s">
        <v>29</v>
      </c>
      <c r="C14" s="257" t="s">
        <v>30</v>
      </c>
      <c r="D14" s="258"/>
      <c r="E14" s="217" t="s">
        <v>30</v>
      </c>
      <c r="F14" s="218"/>
    </row>
    <row r="15" spans="1:6" ht="15" x14ac:dyDescent="0.2">
      <c r="A15" s="59" t="s">
        <v>6</v>
      </c>
      <c r="B15" s="9" t="s">
        <v>16</v>
      </c>
      <c r="C15" s="215">
        <f>C9</f>
        <v>1629.62</v>
      </c>
      <c r="D15" s="216"/>
      <c r="E15" s="215">
        <f>E9</f>
        <v>2405.96</v>
      </c>
      <c r="F15" s="216"/>
    </row>
    <row r="16" spans="1:6" ht="15" x14ac:dyDescent="0.2">
      <c r="A16" s="59" t="s">
        <v>7</v>
      </c>
      <c r="B16" s="9" t="s">
        <v>66</v>
      </c>
      <c r="C16" s="215"/>
      <c r="D16" s="216"/>
      <c r="E16" s="215"/>
      <c r="F16" s="216"/>
    </row>
    <row r="17" spans="1:6" ht="15" x14ac:dyDescent="0.2">
      <c r="A17" s="59" t="s">
        <v>8</v>
      </c>
      <c r="B17" s="9" t="s">
        <v>67</v>
      </c>
      <c r="C17" s="215"/>
      <c r="D17" s="216"/>
      <c r="E17" s="215"/>
      <c r="F17" s="216"/>
    </row>
    <row r="18" spans="1:6" ht="15" x14ac:dyDescent="0.2">
      <c r="A18" s="59" t="s">
        <v>9</v>
      </c>
      <c r="B18" s="9" t="s">
        <v>0</v>
      </c>
      <c r="C18" s="215"/>
      <c r="D18" s="216"/>
      <c r="E18" s="215"/>
      <c r="F18" s="216"/>
    </row>
    <row r="19" spans="1:6" ht="15" x14ac:dyDescent="0.2">
      <c r="A19" s="59" t="s">
        <v>10</v>
      </c>
      <c r="B19" s="9" t="s">
        <v>21</v>
      </c>
      <c r="C19" s="215"/>
      <c r="D19" s="216"/>
      <c r="E19" s="215"/>
      <c r="F19" s="216"/>
    </row>
    <row r="20" spans="1:6" ht="15" x14ac:dyDescent="0.2">
      <c r="A20" s="59" t="s">
        <v>11</v>
      </c>
      <c r="B20" s="9" t="s">
        <v>2</v>
      </c>
      <c r="C20" s="215"/>
      <c r="D20" s="216"/>
      <c r="E20" s="215"/>
      <c r="F20" s="216"/>
    </row>
    <row r="21" spans="1:6" ht="15.75" customHeight="1" thickBot="1" x14ac:dyDescent="0.25">
      <c r="A21" s="253" t="s">
        <v>28</v>
      </c>
      <c r="B21" s="254"/>
      <c r="C21" s="10">
        <f>SUM(C15:C20)</f>
        <v>1629.62</v>
      </c>
      <c r="D21" s="11">
        <f>SUM(C15:D20)</f>
        <v>1629.62</v>
      </c>
      <c r="E21" s="10">
        <f>SUM(E15:E20)</f>
        <v>2405.96</v>
      </c>
      <c r="F21" s="11">
        <f>SUM(E15:F20)</f>
        <v>2405.96</v>
      </c>
    </row>
    <row r="22" spans="1:6" ht="15.75" thickBot="1" x14ac:dyDescent="0.25">
      <c r="B22" s="12"/>
      <c r="C22" s="12"/>
      <c r="D22" s="12"/>
      <c r="E22" s="12"/>
      <c r="F22" s="12"/>
    </row>
    <row r="23" spans="1:6" ht="15.75" thickBot="1" x14ac:dyDescent="0.25">
      <c r="A23" s="237" t="s">
        <v>31</v>
      </c>
      <c r="B23" s="238"/>
      <c r="C23" s="238"/>
      <c r="D23" s="239"/>
      <c r="E23" s="115"/>
      <c r="F23" s="114"/>
    </row>
    <row r="24" spans="1:6" ht="15" x14ac:dyDescent="0.2">
      <c r="A24" s="56" t="s">
        <v>22</v>
      </c>
      <c r="B24" s="57" t="s">
        <v>32</v>
      </c>
      <c r="C24" s="57" t="s">
        <v>1</v>
      </c>
      <c r="D24" s="60" t="s">
        <v>30</v>
      </c>
      <c r="E24" s="116" t="s">
        <v>1</v>
      </c>
      <c r="F24" s="117" t="s">
        <v>30</v>
      </c>
    </row>
    <row r="25" spans="1:6" ht="15" x14ac:dyDescent="0.2">
      <c r="A25" s="59" t="s">
        <v>6</v>
      </c>
      <c r="B25" s="9" t="s">
        <v>33</v>
      </c>
      <c r="C25" s="4">
        <v>8.3299999999999999E-2</v>
      </c>
      <c r="D25" s="13">
        <f>C25*D21</f>
        <v>135.74734599999999</v>
      </c>
      <c r="E25" s="4">
        <v>8.3299999999999999E-2</v>
      </c>
      <c r="F25" s="13">
        <f>E25*F21</f>
        <v>200.41646800000001</v>
      </c>
    </row>
    <row r="26" spans="1:6" ht="15" x14ac:dyDescent="0.2">
      <c r="A26" s="59" t="s">
        <v>7</v>
      </c>
      <c r="B26" s="9" t="s">
        <v>34</v>
      </c>
      <c r="C26" s="5">
        <v>0.121</v>
      </c>
      <c r="D26" s="14">
        <f>C26*D21</f>
        <v>197.18401999999998</v>
      </c>
      <c r="E26" s="5">
        <v>0.121</v>
      </c>
      <c r="F26" s="14">
        <f>E26*F21</f>
        <v>291.12115999999997</v>
      </c>
    </row>
    <row r="27" spans="1:6" ht="15" x14ac:dyDescent="0.2">
      <c r="A27" s="59" t="s">
        <v>8</v>
      </c>
      <c r="B27" s="9" t="s">
        <v>68</v>
      </c>
      <c r="C27" s="5">
        <f>(C25+C26)*C39</f>
        <v>7.1096400000000004E-2</v>
      </c>
      <c r="D27" s="14">
        <f>C27*C21</f>
        <v>115.860115368</v>
      </c>
      <c r="E27" s="5">
        <f>(E25+E26)*E39</f>
        <v>7.1096400000000004E-2</v>
      </c>
      <c r="F27" s="14">
        <f>E27*E21</f>
        <v>171.05509454400001</v>
      </c>
    </row>
    <row r="28" spans="1:6" ht="15" customHeight="1" x14ac:dyDescent="0.2">
      <c r="A28" s="255" t="s">
        <v>28</v>
      </c>
      <c r="B28" s="256"/>
      <c r="C28" s="15">
        <f>SUM(C25:C26)</f>
        <v>0.20429999999999998</v>
      </c>
      <c r="D28" s="65">
        <f>SUM(D25:D27)</f>
        <v>448.79148136799995</v>
      </c>
      <c r="E28" s="15">
        <f>SUM(E25:E26)</f>
        <v>0.20429999999999998</v>
      </c>
      <c r="F28" s="65">
        <f>SUM(F25:F27)</f>
        <v>662.59272254400003</v>
      </c>
    </row>
    <row r="29" spans="1:6" ht="15" x14ac:dyDescent="0.2">
      <c r="A29" s="16"/>
      <c r="B29" s="17"/>
      <c r="C29" s="18"/>
      <c r="D29" s="19"/>
      <c r="E29" s="18"/>
      <c r="F29" s="19"/>
    </row>
    <row r="30" spans="1:6" ht="30" x14ac:dyDescent="0.2">
      <c r="A30" s="56" t="s">
        <v>23</v>
      </c>
      <c r="B30" s="57" t="s">
        <v>69</v>
      </c>
      <c r="C30" s="57" t="s">
        <v>1</v>
      </c>
      <c r="D30" s="60" t="s">
        <v>30</v>
      </c>
      <c r="E30" s="57" t="s">
        <v>1</v>
      </c>
      <c r="F30" s="60" t="s">
        <v>30</v>
      </c>
    </row>
    <row r="31" spans="1:6" ht="15" x14ac:dyDescent="0.2">
      <c r="A31" s="59" t="s">
        <v>6</v>
      </c>
      <c r="B31" s="9" t="s">
        <v>36</v>
      </c>
      <c r="C31" s="5">
        <v>0.2</v>
      </c>
      <c r="D31" s="20">
        <f>C31*D21</f>
        <v>325.92399999999998</v>
      </c>
      <c r="E31" s="5">
        <v>0.2</v>
      </c>
      <c r="F31" s="20">
        <f>E31*F21</f>
        <v>481.19200000000001</v>
      </c>
    </row>
    <row r="32" spans="1:6" ht="15" x14ac:dyDescent="0.2">
      <c r="A32" s="59" t="s">
        <v>7</v>
      </c>
      <c r="B32" s="9" t="s">
        <v>70</v>
      </c>
      <c r="C32" s="5">
        <v>2.5000000000000001E-2</v>
      </c>
      <c r="D32" s="20">
        <f>C32*D21</f>
        <v>40.740499999999997</v>
      </c>
      <c r="E32" s="5">
        <v>2.5000000000000001E-2</v>
      </c>
      <c r="F32" s="20">
        <f>E32*F21</f>
        <v>60.149000000000001</v>
      </c>
    </row>
    <row r="33" spans="1:6" ht="15" x14ac:dyDescent="0.2">
      <c r="A33" s="59" t="s">
        <v>8</v>
      </c>
      <c r="B33" s="9" t="s">
        <v>71</v>
      </c>
      <c r="C33" s="51">
        <v>0.01</v>
      </c>
      <c r="D33" s="52">
        <f>C33*D21</f>
        <v>16.296199999999999</v>
      </c>
      <c r="E33" s="51">
        <v>0.01</v>
      </c>
      <c r="F33" s="52">
        <f>E33*F21</f>
        <v>24.0596</v>
      </c>
    </row>
    <row r="34" spans="1:6" ht="15" x14ac:dyDescent="0.2">
      <c r="A34" s="59" t="s">
        <v>9</v>
      </c>
      <c r="B34" s="9" t="s">
        <v>72</v>
      </c>
      <c r="C34" s="5">
        <v>1.4999999999999999E-2</v>
      </c>
      <c r="D34" s="20">
        <f>C34*D21</f>
        <v>24.444299999999998</v>
      </c>
      <c r="E34" s="5">
        <v>1.4999999999999999E-2</v>
      </c>
      <c r="F34" s="20">
        <f>E34*F21</f>
        <v>36.089399999999998</v>
      </c>
    </row>
    <row r="35" spans="1:6" ht="15" x14ac:dyDescent="0.2">
      <c r="A35" s="59" t="s">
        <v>10</v>
      </c>
      <c r="B35" s="9" t="s">
        <v>37</v>
      </c>
      <c r="C35" s="5">
        <v>0.01</v>
      </c>
      <c r="D35" s="20">
        <f>C35*D21</f>
        <v>16.296199999999999</v>
      </c>
      <c r="E35" s="5">
        <v>0.01</v>
      </c>
      <c r="F35" s="20">
        <f>E35*F21</f>
        <v>24.0596</v>
      </c>
    </row>
    <row r="36" spans="1:6" ht="15" x14ac:dyDescent="0.2">
      <c r="A36" s="59" t="s">
        <v>11</v>
      </c>
      <c r="B36" s="9" t="s">
        <v>38</v>
      </c>
      <c r="C36" s="5">
        <v>6.0000000000000001E-3</v>
      </c>
      <c r="D36" s="20">
        <f>C36*D21</f>
        <v>9.7777200000000004</v>
      </c>
      <c r="E36" s="5">
        <v>6.0000000000000001E-3</v>
      </c>
      <c r="F36" s="20">
        <f>E36*F21</f>
        <v>14.43576</v>
      </c>
    </row>
    <row r="37" spans="1:6" ht="15" x14ac:dyDescent="0.2">
      <c r="A37" s="59" t="s">
        <v>12</v>
      </c>
      <c r="B37" s="9" t="s">
        <v>39</v>
      </c>
      <c r="C37" s="5">
        <v>2E-3</v>
      </c>
      <c r="D37" s="20">
        <f>C37*D21</f>
        <v>3.2592399999999997</v>
      </c>
      <c r="E37" s="5">
        <v>2E-3</v>
      </c>
      <c r="F37" s="20">
        <f>E37*F21</f>
        <v>4.8119199999999998</v>
      </c>
    </row>
    <row r="38" spans="1:6" ht="15" x14ac:dyDescent="0.2">
      <c r="A38" s="59" t="s">
        <v>13</v>
      </c>
      <c r="B38" s="9" t="s">
        <v>40</v>
      </c>
      <c r="C38" s="5">
        <v>0.08</v>
      </c>
      <c r="D38" s="20">
        <f>C38*D21</f>
        <v>130.36959999999999</v>
      </c>
      <c r="E38" s="5">
        <v>0.08</v>
      </c>
      <c r="F38" s="20">
        <f>E38*F21</f>
        <v>192.4768</v>
      </c>
    </row>
    <row r="39" spans="1:6" ht="15" x14ac:dyDescent="0.2">
      <c r="A39" s="225" t="s">
        <v>28</v>
      </c>
      <c r="B39" s="226"/>
      <c r="C39" s="15">
        <f t="shared" ref="C39" si="0">SUM(C31:C38)</f>
        <v>0.34800000000000003</v>
      </c>
      <c r="D39" s="65">
        <f>SUM(D31:D38)</f>
        <v>567.10775999999987</v>
      </c>
      <c r="E39" s="15">
        <f t="shared" ref="E39" si="1">SUM(E31:E38)</f>
        <v>0.34800000000000003</v>
      </c>
      <c r="F39" s="65">
        <f>SUM(F31:F38)</f>
        <v>837.27408000000003</v>
      </c>
    </row>
    <row r="40" spans="1:6" ht="15" x14ac:dyDescent="0.2">
      <c r="A40" s="16"/>
      <c r="B40" s="17"/>
      <c r="C40" s="18"/>
      <c r="D40" s="19"/>
      <c r="E40" s="18"/>
      <c r="F40" s="19"/>
    </row>
    <row r="41" spans="1:6" ht="15" x14ac:dyDescent="0.2">
      <c r="A41" s="56" t="s">
        <v>24</v>
      </c>
      <c r="B41" s="58" t="s">
        <v>25</v>
      </c>
      <c r="C41" s="57" t="s">
        <v>73</v>
      </c>
      <c r="D41" s="61" t="s">
        <v>30</v>
      </c>
      <c r="E41" s="57" t="s">
        <v>73</v>
      </c>
      <c r="F41" s="61" t="s">
        <v>30</v>
      </c>
    </row>
    <row r="42" spans="1:6" ht="15" x14ac:dyDescent="0.25">
      <c r="A42" s="59" t="s">
        <v>6</v>
      </c>
      <c r="B42" s="9" t="s">
        <v>74</v>
      </c>
      <c r="C42" s="21" t="s">
        <v>75</v>
      </c>
      <c r="D42" s="22">
        <f>(5.5*2*22)-(D21*0.06)</f>
        <v>144.22280000000001</v>
      </c>
      <c r="E42" s="21" t="s">
        <v>75</v>
      </c>
      <c r="F42" s="22">
        <f>(5.5*2*22)-(F21*0.06)</f>
        <v>97.642400000000009</v>
      </c>
    </row>
    <row r="43" spans="1:6" ht="15" x14ac:dyDescent="0.2">
      <c r="A43" s="23" t="s">
        <v>7</v>
      </c>
      <c r="B43" s="24" t="s">
        <v>182</v>
      </c>
      <c r="C43" s="25" t="s">
        <v>75</v>
      </c>
      <c r="D43" s="26">
        <f>42.2*22</f>
        <v>928.40000000000009</v>
      </c>
      <c r="E43" s="25" t="s">
        <v>75</v>
      </c>
      <c r="F43" s="26">
        <f>42.2*22</f>
        <v>928.40000000000009</v>
      </c>
    </row>
    <row r="44" spans="1:6" ht="15" x14ac:dyDescent="0.2">
      <c r="A44" s="59" t="s">
        <v>8</v>
      </c>
      <c r="B44" s="9" t="s">
        <v>183</v>
      </c>
      <c r="C44" s="66" t="s">
        <v>76</v>
      </c>
      <c r="D44" s="27">
        <v>187.18</v>
      </c>
      <c r="E44" s="66" t="s">
        <v>76</v>
      </c>
      <c r="F44" s="27">
        <v>187.18</v>
      </c>
    </row>
    <row r="45" spans="1:6" ht="15" x14ac:dyDescent="0.2">
      <c r="A45" s="59" t="s">
        <v>9</v>
      </c>
      <c r="B45" s="9" t="s">
        <v>58</v>
      </c>
      <c r="C45" s="66" t="s">
        <v>76</v>
      </c>
      <c r="D45" s="28">
        <v>3.3</v>
      </c>
      <c r="E45" s="66" t="s">
        <v>76</v>
      </c>
      <c r="F45" s="28">
        <v>3.3</v>
      </c>
    </row>
    <row r="46" spans="1:6" ht="15" x14ac:dyDescent="0.2">
      <c r="A46" s="59" t="s">
        <v>10</v>
      </c>
      <c r="B46" s="70" t="s">
        <v>184</v>
      </c>
      <c r="C46" s="66" t="s">
        <v>76</v>
      </c>
      <c r="D46" s="28">
        <v>12.81</v>
      </c>
      <c r="E46" s="66" t="s">
        <v>76</v>
      </c>
      <c r="F46" s="28">
        <v>12.81</v>
      </c>
    </row>
    <row r="47" spans="1:6" ht="15" customHeight="1" x14ac:dyDescent="0.2">
      <c r="A47" s="67" t="s">
        <v>28</v>
      </c>
      <c r="B47" s="68"/>
      <c r="C47" s="68"/>
      <c r="D47" s="69">
        <f>SUM(D42:D46)</f>
        <v>1275.9128000000001</v>
      </c>
      <c r="E47" s="68"/>
      <c r="F47" s="69">
        <f>SUM(F42:F46)</f>
        <v>1229.3324</v>
      </c>
    </row>
    <row r="48" spans="1:6" ht="15.75" thickBot="1" x14ac:dyDescent="0.25">
      <c r="A48" s="29"/>
      <c r="B48" s="18"/>
      <c r="C48" s="18"/>
      <c r="D48" s="30"/>
      <c r="E48" s="18"/>
      <c r="F48" s="30"/>
    </row>
    <row r="49" spans="1:6" ht="15.75" thickBot="1" x14ac:dyDescent="0.25">
      <c r="A49" s="263" t="s">
        <v>41</v>
      </c>
      <c r="B49" s="264"/>
      <c r="C49" s="264"/>
      <c r="D49" s="265"/>
      <c r="E49" s="118"/>
      <c r="F49" s="119"/>
    </row>
    <row r="50" spans="1:6" ht="15" customHeight="1" x14ac:dyDescent="0.2">
      <c r="A50" s="56">
        <v>2</v>
      </c>
      <c r="B50" s="57" t="s">
        <v>77</v>
      </c>
      <c r="C50" s="257" t="s">
        <v>30</v>
      </c>
      <c r="D50" s="258"/>
      <c r="E50" s="217" t="s">
        <v>30</v>
      </c>
      <c r="F50" s="218"/>
    </row>
    <row r="51" spans="1:6" ht="15" x14ac:dyDescent="0.25">
      <c r="A51" s="59" t="s">
        <v>22</v>
      </c>
      <c r="B51" s="31" t="s">
        <v>32</v>
      </c>
      <c r="C51" s="219">
        <f>D28</f>
        <v>448.79148136799995</v>
      </c>
      <c r="D51" s="220"/>
      <c r="E51" s="219">
        <f>F28</f>
        <v>662.59272254400003</v>
      </c>
      <c r="F51" s="220"/>
    </row>
    <row r="52" spans="1:6" ht="15" x14ac:dyDescent="0.2">
      <c r="A52" s="59" t="s">
        <v>23</v>
      </c>
      <c r="B52" s="9" t="s">
        <v>35</v>
      </c>
      <c r="C52" s="219">
        <f>D39</f>
        <v>567.10775999999987</v>
      </c>
      <c r="D52" s="220"/>
      <c r="E52" s="219">
        <f>F39</f>
        <v>837.27408000000003</v>
      </c>
      <c r="F52" s="220"/>
    </row>
    <row r="53" spans="1:6" ht="15" x14ac:dyDescent="0.2">
      <c r="A53" s="59" t="s">
        <v>24</v>
      </c>
      <c r="B53" s="9" t="s">
        <v>25</v>
      </c>
      <c r="C53" s="219">
        <f>D47</f>
        <v>1275.9128000000001</v>
      </c>
      <c r="D53" s="220"/>
      <c r="E53" s="219">
        <f>F47</f>
        <v>1229.3324</v>
      </c>
      <c r="F53" s="220"/>
    </row>
    <row r="54" spans="1:6" ht="15.75" thickBot="1" x14ac:dyDescent="0.25">
      <c r="A54" s="235" t="s">
        <v>28</v>
      </c>
      <c r="B54" s="236"/>
      <c r="C54" s="221">
        <f>SUM(C51:D53)</f>
        <v>2291.8120413679999</v>
      </c>
      <c r="D54" s="222"/>
      <c r="E54" s="221">
        <f>SUM(E51:F53)</f>
        <v>2729.1992025440004</v>
      </c>
      <c r="F54" s="222"/>
    </row>
    <row r="55" spans="1:6" ht="13.5" thickBot="1" x14ac:dyDescent="0.25"/>
    <row r="56" spans="1:6" ht="15.75" thickBot="1" x14ac:dyDescent="0.25">
      <c r="A56" s="266" t="s">
        <v>42</v>
      </c>
      <c r="B56" s="267"/>
      <c r="C56" s="267"/>
      <c r="D56" s="267"/>
      <c r="E56" s="115"/>
      <c r="F56" s="114"/>
    </row>
    <row r="57" spans="1:6" ht="15" x14ac:dyDescent="0.2">
      <c r="A57" s="56">
        <v>3</v>
      </c>
      <c r="B57" s="58" t="s">
        <v>43</v>
      </c>
      <c r="C57" s="57" t="s">
        <v>1</v>
      </c>
      <c r="D57" s="60" t="s">
        <v>30</v>
      </c>
      <c r="E57" s="116" t="s">
        <v>1</v>
      </c>
      <c r="F57" s="117" t="s">
        <v>30</v>
      </c>
    </row>
    <row r="58" spans="1:6" ht="15" x14ac:dyDescent="0.2">
      <c r="A58" s="59" t="s">
        <v>6</v>
      </c>
      <c r="B58" s="32" t="s">
        <v>26</v>
      </c>
      <c r="C58" s="5">
        <v>4.1999999999999997E-3</v>
      </c>
      <c r="D58" s="14">
        <f>C58*D$21</f>
        <v>6.844403999999999</v>
      </c>
      <c r="E58" s="5">
        <v>4.1999999999999997E-3</v>
      </c>
      <c r="F58" s="14">
        <f>E58*F$21</f>
        <v>10.105032</v>
      </c>
    </row>
    <row r="59" spans="1:6" ht="15" x14ac:dyDescent="0.2">
      <c r="A59" s="59" t="s">
        <v>7</v>
      </c>
      <c r="B59" s="32" t="s">
        <v>44</v>
      </c>
      <c r="C59" s="5">
        <f>C58*0.08</f>
        <v>3.3599999999999998E-4</v>
      </c>
      <c r="D59" s="14">
        <f>C59*D$21</f>
        <v>0.54755231999999998</v>
      </c>
      <c r="E59" s="5">
        <f>E58*0.08</f>
        <v>3.3599999999999998E-4</v>
      </c>
      <c r="F59" s="14">
        <f>E59*F$21</f>
        <v>0.80840255999999999</v>
      </c>
    </row>
    <row r="60" spans="1:6" ht="15" x14ac:dyDescent="0.2">
      <c r="A60" s="59" t="s">
        <v>9</v>
      </c>
      <c r="B60" s="32" t="s">
        <v>45</v>
      </c>
      <c r="C60" s="5">
        <v>1.9400000000000001E-2</v>
      </c>
      <c r="D60" s="14">
        <f t="shared" ref="D60:D62" si="2">C60*D$21</f>
        <v>31.614628</v>
      </c>
      <c r="E60" s="5">
        <v>1.9400000000000001E-2</v>
      </c>
      <c r="F60" s="14">
        <f t="shared" ref="F60:F62" si="3">E60*F$21</f>
        <v>46.675623999999999</v>
      </c>
    </row>
    <row r="61" spans="1:6" ht="30" x14ac:dyDescent="0.2">
      <c r="A61" s="59" t="s">
        <v>10</v>
      </c>
      <c r="B61" s="32" t="s">
        <v>78</v>
      </c>
      <c r="C61" s="5">
        <v>7.0000000000000001E-3</v>
      </c>
      <c r="D61" s="14">
        <f t="shared" si="2"/>
        <v>11.40734</v>
      </c>
      <c r="E61" s="5">
        <v>7.0000000000000001E-3</v>
      </c>
      <c r="F61" s="14">
        <f t="shared" si="3"/>
        <v>16.841720000000002</v>
      </c>
    </row>
    <row r="62" spans="1:6" ht="15" x14ac:dyDescent="0.2">
      <c r="A62" s="59" t="s">
        <v>11</v>
      </c>
      <c r="B62" s="32" t="s">
        <v>46</v>
      </c>
      <c r="C62" s="5">
        <v>0.04</v>
      </c>
      <c r="D62" s="14">
        <f t="shared" si="2"/>
        <v>65.184799999999996</v>
      </c>
      <c r="E62" s="5">
        <v>0.04</v>
      </c>
      <c r="F62" s="14">
        <f t="shared" si="3"/>
        <v>96.238399999999999</v>
      </c>
    </row>
    <row r="63" spans="1:6" ht="15.75" thickBot="1" x14ac:dyDescent="0.25">
      <c r="A63" s="253" t="s">
        <v>28</v>
      </c>
      <c r="B63" s="254"/>
      <c r="C63" s="33">
        <f>SUM(C58:C62)</f>
        <v>7.0935999999999999E-2</v>
      </c>
      <c r="D63" s="62">
        <f>SUM(D58:D62)</f>
        <v>115.59872432</v>
      </c>
      <c r="E63" s="33">
        <f>SUM(E58:E62)</f>
        <v>7.0935999999999999E-2</v>
      </c>
      <c r="F63" s="62">
        <f>SUM(F58:F62)</f>
        <v>170.66917855999998</v>
      </c>
    </row>
    <row r="64" spans="1:6" ht="88.5" customHeight="1" thickBot="1" x14ac:dyDescent="0.25">
      <c r="A64" s="268" t="s">
        <v>98</v>
      </c>
      <c r="B64" s="269"/>
      <c r="C64" s="269"/>
      <c r="D64" s="269"/>
      <c r="E64" s="90"/>
      <c r="F64" s="120"/>
    </row>
    <row r="65" spans="1:6" ht="15.75" thickBot="1" x14ac:dyDescent="0.25">
      <c r="A65" s="34"/>
      <c r="B65" s="18"/>
      <c r="C65" s="35"/>
      <c r="D65" s="36"/>
      <c r="E65" s="35"/>
      <c r="F65" s="36"/>
    </row>
    <row r="66" spans="1:6" ht="15.75" thickBot="1" x14ac:dyDescent="0.25">
      <c r="A66" s="266" t="s">
        <v>27</v>
      </c>
      <c r="B66" s="267"/>
      <c r="C66" s="267"/>
      <c r="D66" s="267"/>
      <c r="E66" s="115"/>
      <c r="F66" s="114"/>
    </row>
    <row r="67" spans="1:6" ht="15" x14ac:dyDescent="0.2">
      <c r="A67" s="56" t="s">
        <v>14</v>
      </c>
      <c r="B67" s="57" t="s">
        <v>79</v>
      </c>
      <c r="C67" s="57" t="s">
        <v>1</v>
      </c>
      <c r="D67" s="57" t="s">
        <v>30</v>
      </c>
      <c r="E67" s="116" t="s">
        <v>1</v>
      </c>
      <c r="F67" s="116" t="s">
        <v>30</v>
      </c>
    </row>
    <row r="68" spans="1:6" ht="15" x14ac:dyDescent="0.2">
      <c r="A68" s="59" t="s">
        <v>6</v>
      </c>
      <c r="B68" s="9" t="s">
        <v>80</v>
      </c>
      <c r="C68" s="6">
        <v>6.1999999999999998E-3</v>
      </c>
      <c r="D68" s="14">
        <f>C68*D$21</f>
        <v>10.103643999999999</v>
      </c>
      <c r="E68" s="6">
        <v>6.1999999999999998E-3</v>
      </c>
      <c r="F68" s="14">
        <f>E68*F$21</f>
        <v>14.916952</v>
      </c>
    </row>
    <row r="69" spans="1:6" ht="15" x14ac:dyDescent="0.2">
      <c r="A69" s="59" t="s">
        <v>7</v>
      </c>
      <c r="B69" s="9" t="s">
        <v>81</v>
      </c>
      <c r="C69" s="6">
        <v>2.8E-3</v>
      </c>
      <c r="D69" s="14">
        <f t="shared" ref="D69:D73" si="4">C69*D$21</f>
        <v>4.5629359999999997</v>
      </c>
      <c r="E69" s="6">
        <v>2.8E-3</v>
      </c>
      <c r="F69" s="14">
        <f t="shared" ref="F69:F70" si="5">E69*F$21</f>
        <v>6.736688</v>
      </c>
    </row>
    <row r="70" spans="1:6" ht="15" x14ac:dyDescent="0.2">
      <c r="A70" s="59" t="s">
        <v>8</v>
      </c>
      <c r="B70" s="9" t="s">
        <v>82</v>
      </c>
      <c r="C70" s="6">
        <v>2.0000000000000001E-4</v>
      </c>
      <c r="D70" s="14">
        <f t="shared" si="4"/>
        <v>0.32592399999999999</v>
      </c>
      <c r="E70" s="6">
        <v>2.0000000000000001E-4</v>
      </c>
      <c r="F70" s="14">
        <f t="shared" si="5"/>
        <v>0.48119200000000001</v>
      </c>
    </row>
    <row r="71" spans="1:6" ht="15" x14ac:dyDescent="0.2">
      <c r="A71" s="59" t="s">
        <v>9</v>
      </c>
      <c r="B71" s="9" t="s">
        <v>83</v>
      </c>
      <c r="C71" s="6">
        <v>3.3E-3</v>
      </c>
      <c r="D71" s="14">
        <f>C71*D$21</f>
        <v>5.3777459999999992</v>
      </c>
      <c r="E71" s="6">
        <v>3.3E-3</v>
      </c>
      <c r="F71" s="14">
        <f>E71*F$21</f>
        <v>7.9396680000000002</v>
      </c>
    </row>
    <row r="72" spans="1:6" ht="15" x14ac:dyDescent="0.2">
      <c r="A72" s="59" t="s">
        <v>10</v>
      </c>
      <c r="B72" s="9" t="s">
        <v>84</v>
      </c>
      <c r="C72" s="6">
        <v>6.9999999999999999E-4</v>
      </c>
      <c r="D72" s="14">
        <f t="shared" si="4"/>
        <v>1.1407339999999999</v>
      </c>
      <c r="E72" s="6">
        <v>6.9999999999999999E-4</v>
      </c>
      <c r="F72" s="14">
        <f t="shared" ref="F72:F73" si="6">E72*F$21</f>
        <v>1.684172</v>
      </c>
    </row>
    <row r="73" spans="1:6" ht="15" x14ac:dyDescent="0.2">
      <c r="A73" s="59" t="s">
        <v>11</v>
      </c>
      <c r="B73" s="9" t="s">
        <v>85</v>
      </c>
      <c r="C73" s="6">
        <v>0</v>
      </c>
      <c r="D73" s="14">
        <f t="shared" si="4"/>
        <v>0</v>
      </c>
      <c r="E73" s="6">
        <v>0</v>
      </c>
      <c r="F73" s="14">
        <f t="shared" si="6"/>
        <v>0</v>
      </c>
    </row>
    <row r="74" spans="1:6" ht="15" customHeight="1" x14ac:dyDescent="0.2">
      <c r="A74" s="225" t="s">
        <v>28</v>
      </c>
      <c r="B74" s="226"/>
      <c r="C74" s="37"/>
      <c r="D74" s="38">
        <f>SUM(D68:D73)</f>
        <v>21.510983999999997</v>
      </c>
      <c r="E74" s="37"/>
      <c r="F74" s="38">
        <f>SUM(F68:F73)</f>
        <v>31.758672000000001</v>
      </c>
    </row>
    <row r="75" spans="1:6" ht="15" x14ac:dyDescent="0.2">
      <c r="A75" s="39"/>
      <c r="B75" s="40"/>
      <c r="C75" s="223"/>
      <c r="D75" s="224"/>
      <c r="E75" s="223"/>
      <c r="F75" s="224"/>
    </row>
    <row r="76" spans="1:6" ht="15" x14ac:dyDescent="0.2">
      <c r="A76" s="56" t="s">
        <v>15</v>
      </c>
      <c r="B76" s="57" t="s">
        <v>86</v>
      </c>
      <c r="C76" s="41"/>
      <c r="D76" s="57" t="s">
        <v>30</v>
      </c>
      <c r="E76" s="41"/>
      <c r="F76" s="57" t="s">
        <v>30</v>
      </c>
    </row>
    <row r="77" spans="1:6" ht="15" x14ac:dyDescent="0.2">
      <c r="A77" s="59" t="s">
        <v>6</v>
      </c>
      <c r="B77" s="9" t="s">
        <v>87</v>
      </c>
      <c r="C77" s="42"/>
      <c r="D77" s="14"/>
      <c r="E77" s="42"/>
      <c r="F77" s="14"/>
    </row>
    <row r="78" spans="1:6" ht="15" customHeight="1" x14ac:dyDescent="0.2">
      <c r="A78" s="255" t="s">
        <v>28</v>
      </c>
      <c r="B78" s="259"/>
      <c r="C78" s="259"/>
      <c r="D78" s="259"/>
      <c r="E78" s="73"/>
      <c r="F78" s="73"/>
    </row>
    <row r="79" spans="1:6" ht="15.75" thickBot="1" x14ac:dyDescent="0.25">
      <c r="A79" s="39"/>
      <c r="B79" s="43"/>
      <c r="C79" s="63"/>
      <c r="D79" s="64"/>
      <c r="E79" s="63"/>
      <c r="F79" s="64"/>
    </row>
    <row r="80" spans="1:6" ht="15" customHeight="1" thickBot="1" x14ac:dyDescent="0.25">
      <c r="A80" s="260" t="s">
        <v>47</v>
      </c>
      <c r="B80" s="261"/>
      <c r="C80" s="261"/>
      <c r="D80" s="262"/>
      <c r="E80" s="118"/>
      <c r="F80" s="119"/>
    </row>
    <row r="81" spans="1:6" ht="15" customHeight="1" x14ac:dyDescent="0.2">
      <c r="A81" s="121">
        <v>4</v>
      </c>
      <c r="B81" s="116" t="s">
        <v>48</v>
      </c>
      <c r="C81" s="201" t="s">
        <v>30</v>
      </c>
      <c r="D81" s="202"/>
      <c r="E81" s="201" t="s">
        <v>30</v>
      </c>
      <c r="F81" s="202"/>
    </row>
    <row r="82" spans="1:6" ht="15" x14ac:dyDescent="0.2">
      <c r="A82" s="59" t="s">
        <v>14</v>
      </c>
      <c r="B82" s="44" t="s">
        <v>79</v>
      </c>
      <c r="C82" s="205">
        <f>D74</f>
        <v>21.510983999999997</v>
      </c>
      <c r="D82" s="206"/>
      <c r="E82" s="205">
        <f>F74</f>
        <v>31.758672000000001</v>
      </c>
      <c r="F82" s="206"/>
    </row>
    <row r="83" spans="1:6" ht="15" x14ac:dyDescent="0.2">
      <c r="A83" s="59" t="s">
        <v>15</v>
      </c>
      <c r="B83" s="44" t="s">
        <v>86</v>
      </c>
      <c r="C83" s="207"/>
      <c r="D83" s="208"/>
      <c r="E83" s="207"/>
      <c r="F83" s="208"/>
    </row>
    <row r="84" spans="1:6" ht="15" x14ac:dyDescent="0.2">
      <c r="A84" s="59" t="s">
        <v>96</v>
      </c>
      <c r="B84" s="53" t="s">
        <v>97</v>
      </c>
      <c r="C84" s="54"/>
      <c r="D84" s="55">
        <f>C82*C39</f>
        <v>7.485822432</v>
      </c>
      <c r="E84" s="54"/>
      <c r="F84" s="55">
        <f>E82*E39</f>
        <v>11.052017856000001</v>
      </c>
    </row>
    <row r="85" spans="1:6" ht="15.75" thickBot="1" x14ac:dyDescent="0.25">
      <c r="A85" s="235" t="s">
        <v>28</v>
      </c>
      <c r="B85" s="236"/>
      <c r="C85" s="209">
        <f>SUM(C82:D84)</f>
        <v>28.996806431999996</v>
      </c>
      <c r="D85" s="210"/>
      <c r="E85" s="209">
        <f>SUM(E82:F84)</f>
        <v>42.810689856000003</v>
      </c>
      <c r="F85" s="210"/>
    </row>
    <row r="86" spans="1:6" s="46" customFormat="1" ht="15.75" thickBot="1" x14ac:dyDescent="0.25">
      <c r="A86" s="18"/>
      <c r="B86" s="18"/>
      <c r="C86" s="45"/>
      <c r="D86" s="45"/>
      <c r="E86" s="45"/>
      <c r="F86" s="45"/>
    </row>
    <row r="87" spans="1:6" s="46" customFormat="1" ht="15.75" thickBot="1" x14ac:dyDescent="0.25">
      <c r="A87" s="237" t="s">
        <v>49</v>
      </c>
      <c r="B87" s="238"/>
      <c r="C87" s="238"/>
      <c r="D87" s="239"/>
      <c r="E87" s="115"/>
      <c r="F87" s="114"/>
    </row>
    <row r="88" spans="1:6" ht="15" customHeight="1" x14ac:dyDescent="0.2">
      <c r="A88" s="56">
        <v>5</v>
      </c>
      <c r="B88" s="57" t="s">
        <v>50</v>
      </c>
      <c r="C88" s="226" t="s">
        <v>30</v>
      </c>
      <c r="D88" s="234"/>
      <c r="E88" s="201" t="s">
        <v>30</v>
      </c>
      <c r="F88" s="202"/>
    </row>
    <row r="89" spans="1:6" ht="15" x14ac:dyDescent="0.2">
      <c r="A89" s="59" t="s">
        <v>6</v>
      </c>
      <c r="B89" s="9" t="s">
        <v>51</v>
      </c>
      <c r="C89" s="195">
        <f>Uniforme!E21</f>
        <v>64.936666666666667</v>
      </c>
      <c r="D89" s="196"/>
      <c r="E89" s="195">
        <f>Uniforme!E10</f>
        <v>150.48333333333332</v>
      </c>
      <c r="F89" s="196"/>
    </row>
    <row r="90" spans="1:6" ht="15" x14ac:dyDescent="0.2">
      <c r="A90" s="59" t="s">
        <v>7</v>
      </c>
      <c r="B90" s="9" t="s">
        <v>88</v>
      </c>
      <c r="C90" s="197"/>
      <c r="D90" s="198"/>
      <c r="E90" s="197"/>
      <c r="F90" s="198"/>
    </row>
    <row r="91" spans="1:6" ht="15" x14ac:dyDescent="0.2">
      <c r="A91" s="59" t="s">
        <v>8</v>
      </c>
      <c r="B91" s="9" t="s">
        <v>89</v>
      </c>
      <c r="C91" s="195"/>
      <c r="D91" s="196"/>
      <c r="E91" s="195"/>
      <c r="F91" s="196"/>
    </row>
    <row r="92" spans="1:6" ht="15" x14ac:dyDescent="0.2">
      <c r="A92" s="59" t="s">
        <v>9</v>
      </c>
      <c r="B92" s="9" t="s">
        <v>2</v>
      </c>
      <c r="C92" s="195"/>
      <c r="D92" s="196"/>
      <c r="E92" s="195"/>
      <c r="F92" s="196"/>
    </row>
    <row r="93" spans="1:6" ht="15.75" thickBot="1" x14ac:dyDescent="0.25">
      <c r="A93" s="235" t="s">
        <v>28</v>
      </c>
      <c r="B93" s="236"/>
      <c r="C93" s="199">
        <f>SUM(C89:D92)</f>
        <v>64.936666666666667</v>
      </c>
      <c r="D93" s="200"/>
      <c r="E93" s="199">
        <f>SUM(E89:F92)</f>
        <v>150.48333333333332</v>
      </c>
      <c r="F93" s="200"/>
    </row>
    <row r="94" spans="1:6" ht="15.75" thickBot="1" x14ac:dyDescent="0.25">
      <c r="A94" s="240"/>
      <c r="B94" s="240"/>
      <c r="C94" s="240"/>
      <c r="D94" s="240"/>
      <c r="E94" s="71"/>
      <c r="F94" s="71"/>
    </row>
    <row r="95" spans="1:6" s="47" customFormat="1" ht="15.75" thickBot="1" x14ac:dyDescent="0.25">
      <c r="A95" s="237" t="s">
        <v>52</v>
      </c>
      <c r="B95" s="238"/>
      <c r="C95" s="238"/>
      <c r="D95" s="239"/>
      <c r="E95" s="115"/>
      <c r="F95" s="114"/>
    </row>
    <row r="96" spans="1:6" ht="15" x14ac:dyDescent="0.2">
      <c r="A96" s="56">
        <v>6</v>
      </c>
      <c r="B96" s="57" t="s">
        <v>90</v>
      </c>
      <c r="C96" s="57" t="s">
        <v>1</v>
      </c>
      <c r="D96" s="60" t="s">
        <v>30</v>
      </c>
      <c r="E96" s="116" t="s">
        <v>1</v>
      </c>
      <c r="F96" s="117" t="s">
        <v>30</v>
      </c>
    </row>
    <row r="97" spans="1:9" ht="15" x14ac:dyDescent="0.2">
      <c r="A97" s="59" t="s">
        <v>6</v>
      </c>
      <c r="B97" s="9" t="s">
        <v>91</v>
      </c>
      <c r="C97" s="5">
        <v>0.03</v>
      </c>
      <c r="D97" s="13">
        <f>C97*(D21+C54+D63+C85+C93)</f>
        <v>123.92892716360001</v>
      </c>
      <c r="E97" s="5">
        <v>0.03</v>
      </c>
      <c r="F97" s="13">
        <f>E97*(F21+E54+F63+E85+E93)</f>
        <v>164.97367212879999</v>
      </c>
    </row>
    <row r="98" spans="1:9" ht="15" x14ac:dyDescent="0.2">
      <c r="A98" s="59" t="s">
        <v>7</v>
      </c>
      <c r="B98" s="9" t="s">
        <v>3</v>
      </c>
      <c r="C98" s="5">
        <v>0.06</v>
      </c>
      <c r="D98" s="13">
        <f>C98*(D21+C54+D63+C85+C93+D97)</f>
        <v>255.293589957016</v>
      </c>
      <c r="E98" s="5">
        <v>0.06</v>
      </c>
      <c r="F98" s="13">
        <f>E98*(F21+E54+F63+E85+E93+F97)</f>
        <v>339.84576458532803</v>
      </c>
    </row>
    <row r="99" spans="1:9" ht="15" x14ac:dyDescent="0.2">
      <c r="A99" s="59" t="s">
        <v>8</v>
      </c>
      <c r="B99" s="9" t="s">
        <v>92</v>
      </c>
      <c r="C99" s="5">
        <f t="shared" ref="C99" si="7">SUM(C100:C102)</f>
        <v>8.6499999999999994E-2</v>
      </c>
      <c r="D99" s="14">
        <f>SUM(D100:D102)</f>
        <v>427.07296593977003</v>
      </c>
      <c r="E99" s="5">
        <f t="shared" ref="E99" si="8">SUM(E100:E102)</f>
        <v>8.6499999999999994E-2</v>
      </c>
      <c r="F99" s="14">
        <f>SUM(F100:F102)</f>
        <v>568.51775505981982</v>
      </c>
      <c r="I99" s="83"/>
    </row>
    <row r="100" spans="1:9" ht="15" x14ac:dyDescent="0.2">
      <c r="A100" s="59"/>
      <c r="B100" s="9" t="s">
        <v>17</v>
      </c>
      <c r="C100" s="5">
        <v>6.4999999999999997E-3</v>
      </c>
      <c r="D100" s="14">
        <f>C100*(D21+C54+D63+C85+C93+D97+D98)/(1-C99)</f>
        <v>32.092188192005842</v>
      </c>
      <c r="E100" s="5">
        <v>6.4999999999999997E-3</v>
      </c>
      <c r="F100" s="14">
        <f>E100*(F21+E54+F63+E85+E93+F97+F98)/(1-E99)</f>
        <v>42.720987374437328</v>
      </c>
    </row>
    <row r="101" spans="1:9" ht="15" x14ac:dyDescent="0.2">
      <c r="A101" s="59"/>
      <c r="B101" s="9" t="s">
        <v>18</v>
      </c>
      <c r="C101" s="5">
        <v>0.03</v>
      </c>
      <c r="D101" s="14">
        <f>C101*(D21+C54+D63+C85+C93+D97+D98)/(1-C99)</f>
        <v>148.11779165541157</v>
      </c>
      <c r="E101" s="5">
        <v>0.03</v>
      </c>
      <c r="F101" s="14">
        <f>E101*(F21+E54+F63+E85+E93+F97+F98)/(1-E99)</f>
        <v>197.17378788201844</v>
      </c>
    </row>
    <row r="102" spans="1:9" ht="15.75" customHeight="1" x14ac:dyDescent="0.2">
      <c r="A102" s="59"/>
      <c r="B102" s="9" t="s">
        <v>19</v>
      </c>
      <c r="C102" s="5">
        <v>0.05</v>
      </c>
      <c r="D102" s="14">
        <f>C102*(D21+C54+D63+C85+C93+D97+D98)/(1-C99)</f>
        <v>246.86298609235263</v>
      </c>
      <c r="E102" s="5">
        <v>0.05</v>
      </c>
      <c r="F102" s="14">
        <f>E102*(F21+E54+F63+E85+E93+F97+F98)/(1-E99)</f>
        <v>328.6229798033641</v>
      </c>
    </row>
    <row r="103" spans="1:9" ht="15.75" customHeight="1" thickBot="1" x14ac:dyDescent="0.25">
      <c r="A103" s="235" t="s">
        <v>28</v>
      </c>
      <c r="B103" s="236"/>
      <c r="C103" s="33">
        <f>SUM(C97,C99,C98)</f>
        <v>0.17649999999999999</v>
      </c>
      <c r="D103" s="62">
        <f>SUM(D97:D99)</f>
        <v>806.295483060386</v>
      </c>
      <c r="E103" s="33">
        <f>SUM(E97,E99,E98)</f>
        <v>0.17649999999999999</v>
      </c>
      <c r="F103" s="62">
        <f>SUM(F97:F99)</f>
        <v>1073.3371917739478</v>
      </c>
    </row>
    <row r="104" spans="1:9" s="46" customFormat="1" ht="15" customHeight="1" thickBot="1" x14ac:dyDescent="0.25">
      <c r="A104" s="48"/>
      <c r="B104" s="18"/>
      <c r="C104" s="35"/>
      <c r="D104" s="36"/>
      <c r="E104" s="35"/>
      <c r="F104" s="36"/>
    </row>
    <row r="105" spans="1:9" ht="15" customHeight="1" thickBot="1" x14ac:dyDescent="0.25">
      <c r="A105" s="227" t="s">
        <v>93</v>
      </c>
      <c r="B105" s="228"/>
      <c r="C105" s="228"/>
      <c r="D105" s="229"/>
      <c r="E105" s="122"/>
      <c r="F105" s="123"/>
    </row>
    <row r="106" spans="1:9" ht="15" customHeight="1" x14ac:dyDescent="0.2">
      <c r="A106" s="225" t="s">
        <v>53</v>
      </c>
      <c r="B106" s="226"/>
      <c r="C106" s="226" t="s">
        <v>30</v>
      </c>
      <c r="D106" s="234"/>
      <c r="E106" s="201" t="s">
        <v>30</v>
      </c>
      <c r="F106" s="202"/>
    </row>
    <row r="107" spans="1:9" s="47" customFormat="1" ht="15" customHeight="1" x14ac:dyDescent="0.2">
      <c r="A107" s="59" t="s">
        <v>6</v>
      </c>
      <c r="B107" s="9" t="s">
        <v>54</v>
      </c>
      <c r="C107" s="203">
        <f>D21</f>
        <v>1629.62</v>
      </c>
      <c r="D107" s="204"/>
      <c r="E107" s="203">
        <f>F21</f>
        <v>2405.96</v>
      </c>
      <c r="F107" s="204"/>
    </row>
    <row r="108" spans="1:9" ht="15" x14ac:dyDescent="0.2">
      <c r="A108" s="59" t="s">
        <v>7</v>
      </c>
      <c r="B108" s="9" t="s">
        <v>31</v>
      </c>
      <c r="C108" s="203">
        <f>C54</f>
        <v>2291.8120413679999</v>
      </c>
      <c r="D108" s="204"/>
      <c r="E108" s="203">
        <f>E54</f>
        <v>2729.1992025440004</v>
      </c>
      <c r="F108" s="204"/>
    </row>
    <row r="109" spans="1:9" ht="15" x14ac:dyDescent="0.2">
      <c r="A109" s="59" t="s">
        <v>8</v>
      </c>
      <c r="B109" s="9" t="s">
        <v>42</v>
      </c>
      <c r="C109" s="203">
        <f>D63</f>
        <v>115.59872432</v>
      </c>
      <c r="D109" s="204"/>
      <c r="E109" s="203">
        <f>F63</f>
        <v>170.66917855999998</v>
      </c>
      <c r="F109" s="204"/>
    </row>
    <row r="110" spans="1:9" ht="15" customHeight="1" x14ac:dyDescent="0.2">
      <c r="A110" s="59" t="s">
        <v>9</v>
      </c>
      <c r="B110" s="9" t="s">
        <v>27</v>
      </c>
      <c r="C110" s="203">
        <f>C85</f>
        <v>28.996806431999996</v>
      </c>
      <c r="D110" s="204"/>
      <c r="E110" s="203">
        <f>E85</f>
        <v>42.810689856000003</v>
      </c>
      <c r="F110" s="204"/>
    </row>
    <row r="111" spans="1:9" ht="30" customHeight="1" x14ac:dyDescent="0.2">
      <c r="A111" s="59" t="s">
        <v>10</v>
      </c>
      <c r="B111" s="9" t="s">
        <v>49</v>
      </c>
      <c r="C111" s="203">
        <f>C93</f>
        <v>64.936666666666667</v>
      </c>
      <c r="D111" s="204"/>
      <c r="E111" s="203">
        <f>E93</f>
        <v>150.48333333333332</v>
      </c>
      <c r="F111" s="204"/>
    </row>
    <row r="112" spans="1:9" ht="15" customHeight="1" x14ac:dyDescent="0.2">
      <c r="A112" s="230" t="s">
        <v>55</v>
      </c>
      <c r="B112" s="231"/>
      <c r="C112" s="203">
        <f>SUM(C107:D111)</f>
        <v>4130.964238786667</v>
      </c>
      <c r="D112" s="204"/>
      <c r="E112" s="203">
        <f>SUM(E107:F111)</f>
        <v>5499.1224042933336</v>
      </c>
      <c r="F112" s="204"/>
    </row>
    <row r="113" spans="1:7" ht="16.5" customHeight="1" thickBot="1" x14ac:dyDescent="0.25">
      <c r="A113" s="49" t="s">
        <v>11</v>
      </c>
      <c r="B113" s="50" t="s">
        <v>56</v>
      </c>
      <c r="C113" s="211">
        <f>D103</f>
        <v>806.295483060386</v>
      </c>
      <c r="D113" s="212"/>
      <c r="E113" s="211">
        <f>F103</f>
        <v>1073.3371917739478</v>
      </c>
      <c r="F113" s="212"/>
    </row>
    <row r="114" spans="1:7" ht="15" customHeight="1" x14ac:dyDescent="0.2">
      <c r="A114" s="232" t="s">
        <v>57</v>
      </c>
      <c r="B114" s="233"/>
      <c r="C114" s="213">
        <f>SUM(C112,C113)</f>
        <v>4937.2597218470528</v>
      </c>
      <c r="D114" s="214"/>
      <c r="E114" s="213">
        <f>SUM(E112,E113)</f>
        <v>6572.4595960672814</v>
      </c>
      <c r="F114" s="214"/>
    </row>
    <row r="115" spans="1:7" ht="15" customHeight="1" x14ac:dyDescent="0.2">
      <c r="A115" s="225" t="s">
        <v>94</v>
      </c>
      <c r="B115" s="226"/>
      <c r="C115" s="193">
        <f>C114*C5</f>
        <v>14811.779165541158</v>
      </c>
      <c r="D115" s="194"/>
      <c r="E115" s="193">
        <f>E114*E5</f>
        <v>39434.757576403688</v>
      </c>
      <c r="F115" s="194"/>
      <c r="G115" s="1"/>
    </row>
    <row r="116" spans="1:7" ht="15" customHeight="1" x14ac:dyDescent="0.2">
      <c r="A116" s="225" t="s">
        <v>95</v>
      </c>
      <c r="B116" s="226"/>
      <c r="C116" s="193">
        <f>C115*12</f>
        <v>177741.34998649391</v>
      </c>
      <c r="D116" s="194"/>
      <c r="E116" s="193">
        <f>E115*12</f>
        <v>473217.09091684426</v>
      </c>
      <c r="F116" s="194"/>
    </row>
    <row r="118" spans="1:7" x14ac:dyDescent="0.2">
      <c r="D118" s="1"/>
      <c r="F118" s="1"/>
    </row>
  </sheetData>
  <mergeCells count="113">
    <mergeCell ref="E4:F4"/>
    <mergeCell ref="E5:F5"/>
    <mergeCell ref="C75:D75"/>
    <mergeCell ref="C81:D81"/>
    <mergeCell ref="C82:D82"/>
    <mergeCell ref="A78:D78"/>
    <mergeCell ref="A80:D80"/>
    <mergeCell ref="A74:B74"/>
    <mergeCell ref="A49:D49"/>
    <mergeCell ref="A54:B54"/>
    <mergeCell ref="A56:D56"/>
    <mergeCell ref="A63:B63"/>
    <mergeCell ref="A66:D66"/>
    <mergeCell ref="A64:D64"/>
    <mergeCell ref="C50:D50"/>
    <mergeCell ref="C51:D51"/>
    <mergeCell ref="C52:D52"/>
    <mergeCell ref="C53:D53"/>
    <mergeCell ref="C54:D54"/>
    <mergeCell ref="E14:F14"/>
    <mergeCell ref="E15:F15"/>
    <mergeCell ref="E16:F16"/>
    <mergeCell ref="E17:F17"/>
    <mergeCell ref="E18:F18"/>
    <mergeCell ref="C83:D83"/>
    <mergeCell ref="C85:D85"/>
    <mergeCell ref="C88:D88"/>
    <mergeCell ref="C89:D89"/>
    <mergeCell ref="C90:D90"/>
    <mergeCell ref="A2:D2"/>
    <mergeCell ref="A3:D3"/>
    <mergeCell ref="A4:B4"/>
    <mergeCell ref="A5:B5"/>
    <mergeCell ref="A6:D6"/>
    <mergeCell ref="C4:D4"/>
    <mergeCell ref="C5:D5"/>
    <mergeCell ref="A39:B39"/>
    <mergeCell ref="A13:D13"/>
    <mergeCell ref="A21:B21"/>
    <mergeCell ref="A23:D23"/>
    <mergeCell ref="A28:B28"/>
    <mergeCell ref="C19:D19"/>
    <mergeCell ref="C20:D20"/>
    <mergeCell ref="C14:D14"/>
    <mergeCell ref="C15:D15"/>
    <mergeCell ref="C16:D16"/>
    <mergeCell ref="C17:D17"/>
    <mergeCell ref="C18:D18"/>
    <mergeCell ref="C92:D92"/>
    <mergeCell ref="C93:D93"/>
    <mergeCell ref="C106:D106"/>
    <mergeCell ref="A85:B85"/>
    <mergeCell ref="A87:D87"/>
    <mergeCell ref="A94:D94"/>
    <mergeCell ref="A93:B93"/>
    <mergeCell ref="A95:D95"/>
    <mergeCell ref="A103:B103"/>
    <mergeCell ref="C91:D91"/>
    <mergeCell ref="A116:B116"/>
    <mergeCell ref="A105:D105"/>
    <mergeCell ref="A106:B106"/>
    <mergeCell ref="A112:B112"/>
    <mergeCell ref="A115:B115"/>
    <mergeCell ref="A114:B114"/>
    <mergeCell ref="C112:D112"/>
    <mergeCell ref="C113:D113"/>
    <mergeCell ref="C114:D114"/>
    <mergeCell ref="C115:D115"/>
    <mergeCell ref="C116:D116"/>
    <mergeCell ref="C107:D107"/>
    <mergeCell ref="C108:D108"/>
    <mergeCell ref="C109:D109"/>
    <mergeCell ref="C110:D110"/>
    <mergeCell ref="C111:D111"/>
    <mergeCell ref="E19:F19"/>
    <mergeCell ref="E20:F20"/>
    <mergeCell ref="E50:F50"/>
    <mergeCell ref="E51:F51"/>
    <mergeCell ref="E52:F52"/>
    <mergeCell ref="E53:F53"/>
    <mergeCell ref="E54:F54"/>
    <mergeCell ref="E75:F75"/>
    <mergeCell ref="E81:F81"/>
    <mergeCell ref="E82:F82"/>
    <mergeCell ref="E83:F83"/>
    <mergeCell ref="E85:F85"/>
    <mergeCell ref="E88:F88"/>
    <mergeCell ref="E110:F110"/>
    <mergeCell ref="E111:F111"/>
    <mergeCell ref="E112:F112"/>
    <mergeCell ref="E113:F113"/>
    <mergeCell ref="E114:F114"/>
    <mergeCell ref="E115:F115"/>
    <mergeCell ref="E116:F116"/>
    <mergeCell ref="E89:F89"/>
    <mergeCell ref="E90:F90"/>
    <mergeCell ref="E91:F91"/>
    <mergeCell ref="E92:F92"/>
    <mergeCell ref="E93:F93"/>
    <mergeCell ref="E106:F106"/>
    <mergeCell ref="E107:F107"/>
    <mergeCell ref="E108:F108"/>
    <mergeCell ref="E109:F109"/>
    <mergeCell ref="E7:F7"/>
    <mergeCell ref="E8:F8"/>
    <mergeCell ref="E9:F9"/>
    <mergeCell ref="E10:F10"/>
    <mergeCell ref="E11:F11"/>
    <mergeCell ref="C7:D7"/>
    <mergeCell ref="C8:D8"/>
    <mergeCell ref="C9:D9"/>
    <mergeCell ref="C10:D10"/>
    <mergeCell ref="C11:D11"/>
  </mergeCells>
  <pageMargins left="0.511811024" right="0.511811024" top="0.78740157499999996" bottom="0.78740157499999996" header="0.31496062000000002" footer="0.31496062000000002"/>
  <pageSetup paperSize="9" scale="55" fitToHeight="0"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1"/>
  <sheetViews>
    <sheetView workbookViewId="0">
      <selection activeCell="E10" sqref="E10"/>
    </sheetView>
  </sheetViews>
  <sheetFormatPr defaultRowHeight="12.75" x14ac:dyDescent="0.2"/>
  <cols>
    <col min="1" max="1" width="32.28515625" bestFit="1" customWidth="1"/>
    <col min="2" max="2" width="11.42578125" customWidth="1"/>
    <col min="3" max="3" width="11.85546875" bestFit="1" customWidth="1"/>
    <col min="4" max="4" width="11.85546875" customWidth="1"/>
    <col min="5" max="5" width="14" customWidth="1"/>
    <col min="8" max="8" width="14.28515625" bestFit="1" customWidth="1"/>
  </cols>
  <sheetData>
    <row r="1" spans="1:8" x14ac:dyDescent="0.2">
      <c r="A1" s="270" t="s">
        <v>100</v>
      </c>
      <c r="B1" s="270"/>
      <c r="C1" s="270"/>
      <c r="D1" s="270"/>
      <c r="E1" s="270"/>
    </row>
    <row r="2" spans="1:8" s="77" customFormat="1" ht="25.5" x14ac:dyDescent="0.2">
      <c r="A2" s="79" t="s">
        <v>158</v>
      </c>
      <c r="B2" s="80" t="s">
        <v>159</v>
      </c>
      <c r="C2" s="80" t="s">
        <v>160</v>
      </c>
      <c r="D2" s="80" t="s">
        <v>168</v>
      </c>
      <c r="E2" s="80" t="s">
        <v>169</v>
      </c>
    </row>
    <row r="3" spans="1:8" x14ac:dyDescent="0.2">
      <c r="A3" s="44" t="s">
        <v>161</v>
      </c>
      <c r="B3" s="78">
        <v>2</v>
      </c>
      <c r="C3" s="81">
        <v>226.49</v>
      </c>
      <c r="D3" s="81">
        <f>B3*C3</f>
        <v>452.98</v>
      </c>
      <c r="E3" s="81">
        <f>D3/12</f>
        <v>37.748333333333335</v>
      </c>
    </row>
    <row r="4" spans="1:8" x14ac:dyDescent="0.2">
      <c r="A4" s="44" t="s">
        <v>162</v>
      </c>
      <c r="B4" s="78">
        <v>6</v>
      </c>
      <c r="C4" s="81">
        <v>93.1</v>
      </c>
      <c r="D4" s="81">
        <f t="shared" ref="D4:D9" si="0">B4*C4</f>
        <v>558.59999999999991</v>
      </c>
      <c r="E4" s="81">
        <f t="shared" ref="E4:E9" si="1">D4/12</f>
        <v>46.54999999999999</v>
      </c>
    </row>
    <row r="5" spans="1:8" x14ac:dyDescent="0.2">
      <c r="A5" s="44" t="s">
        <v>163</v>
      </c>
      <c r="B5" s="78">
        <v>4</v>
      </c>
      <c r="C5" s="81">
        <v>74.930000000000007</v>
      </c>
      <c r="D5" s="81">
        <f t="shared" si="0"/>
        <v>299.72000000000003</v>
      </c>
      <c r="E5" s="81">
        <f t="shared" si="1"/>
        <v>24.97666666666667</v>
      </c>
    </row>
    <row r="6" spans="1:8" x14ac:dyDescent="0.2">
      <c r="A6" s="44" t="s">
        <v>164</v>
      </c>
      <c r="B6" s="78">
        <v>2</v>
      </c>
      <c r="C6" s="81">
        <v>21.84</v>
      </c>
      <c r="D6" s="81">
        <f t="shared" si="0"/>
        <v>43.68</v>
      </c>
      <c r="E6" s="81">
        <f t="shared" si="1"/>
        <v>3.64</v>
      </c>
    </row>
    <row r="7" spans="1:8" x14ac:dyDescent="0.2">
      <c r="A7" s="44" t="s">
        <v>165</v>
      </c>
      <c r="B7" s="78">
        <v>2</v>
      </c>
      <c r="C7" s="81">
        <v>34.630000000000003</v>
      </c>
      <c r="D7" s="81">
        <f t="shared" si="0"/>
        <v>69.260000000000005</v>
      </c>
      <c r="E7" s="81">
        <f t="shared" si="1"/>
        <v>5.7716666666666674</v>
      </c>
    </row>
    <row r="8" spans="1:8" x14ac:dyDescent="0.2">
      <c r="A8" s="44" t="s">
        <v>166</v>
      </c>
      <c r="B8" s="78">
        <v>6</v>
      </c>
      <c r="C8" s="81">
        <v>15.8</v>
      </c>
      <c r="D8" s="81">
        <f t="shared" si="0"/>
        <v>94.800000000000011</v>
      </c>
      <c r="E8" s="81">
        <f t="shared" si="1"/>
        <v>7.9000000000000012</v>
      </c>
    </row>
    <row r="9" spans="1:8" x14ac:dyDescent="0.2">
      <c r="A9" s="44" t="s">
        <v>167</v>
      </c>
      <c r="B9" s="78">
        <v>2</v>
      </c>
      <c r="C9" s="81">
        <v>143.38</v>
      </c>
      <c r="D9" s="81">
        <f t="shared" si="0"/>
        <v>286.76</v>
      </c>
      <c r="E9" s="81">
        <f t="shared" si="1"/>
        <v>23.896666666666665</v>
      </c>
    </row>
    <row r="10" spans="1:8" x14ac:dyDescent="0.2">
      <c r="A10" s="271" t="s">
        <v>28</v>
      </c>
      <c r="B10" s="272"/>
      <c r="C10" s="273"/>
      <c r="D10" s="82">
        <f>SUM(D3:D9)</f>
        <v>1805.8</v>
      </c>
      <c r="E10" s="82">
        <f>SUM(E3:E9)</f>
        <v>150.48333333333332</v>
      </c>
    </row>
    <row r="12" spans="1:8" x14ac:dyDescent="0.2">
      <c r="A12" s="270" t="s">
        <v>99</v>
      </c>
      <c r="B12" s="270"/>
      <c r="C12" s="270"/>
      <c r="D12" s="270"/>
      <c r="E12" s="270"/>
    </row>
    <row r="13" spans="1:8" ht="25.5" x14ac:dyDescent="0.2">
      <c r="A13" s="79" t="s">
        <v>158</v>
      </c>
      <c r="B13" s="80" t="s">
        <v>159</v>
      </c>
      <c r="C13" s="80" t="s">
        <v>160</v>
      </c>
      <c r="D13" s="80" t="s">
        <v>168</v>
      </c>
      <c r="E13" s="80" t="s">
        <v>169</v>
      </c>
      <c r="H13" s="1"/>
    </row>
    <row r="14" spans="1:8" x14ac:dyDescent="0.2">
      <c r="A14" s="44" t="s">
        <v>170</v>
      </c>
      <c r="B14" s="78">
        <v>6</v>
      </c>
      <c r="C14" s="81">
        <v>23</v>
      </c>
      <c r="D14" s="81">
        <f>B14*C14</f>
        <v>138</v>
      </c>
      <c r="E14" s="81">
        <f>D14/12</f>
        <v>11.5</v>
      </c>
      <c r="H14" s="2"/>
    </row>
    <row r="15" spans="1:8" x14ac:dyDescent="0.2">
      <c r="A15" s="44" t="s">
        <v>163</v>
      </c>
      <c r="B15" s="78">
        <v>4</v>
      </c>
      <c r="C15" s="81">
        <v>66.3</v>
      </c>
      <c r="D15" s="81">
        <f t="shared" ref="D15:D20" si="2">B15*C15</f>
        <v>265.2</v>
      </c>
      <c r="E15" s="81">
        <f t="shared" ref="E15:E20" si="3">D15/12</f>
        <v>22.099999999999998</v>
      </c>
    </row>
    <row r="16" spans="1:8" x14ac:dyDescent="0.2">
      <c r="A16" s="44" t="s">
        <v>171</v>
      </c>
      <c r="B16" s="78">
        <v>2</v>
      </c>
      <c r="C16" s="81">
        <v>12.64</v>
      </c>
      <c r="D16" s="81">
        <f t="shared" si="2"/>
        <v>25.28</v>
      </c>
      <c r="E16" s="81">
        <f t="shared" si="3"/>
        <v>2.1066666666666669</v>
      </c>
    </row>
    <row r="17" spans="1:5" x14ac:dyDescent="0.2">
      <c r="A17" s="44" t="s">
        <v>185</v>
      </c>
      <c r="B17" s="78">
        <v>2</v>
      </c>
      <c r="C17" s="81">
        <v>2.69</v>
      </c>
      <c r="D17" s="81">
        <f t="shared" si="2"/>
        <v>5.38</v>
      </c>
      <c r="E17" s="81">
        <f t="shared" si="3"/>
        <v>0.44833333333333331</v>
      </c>
    </row>
    <row r="18" spans="1:5" x14ac:dyDescent="0.2">
      <c r="A18" s="44" t="s">
        <v>186</v>
      </c>
      <c r="B18" s="78">
        <v>2</v>
      </c>
      <c r="C18" s="81">
        <v>5.61</v>
      </c>
      <c r="D18" s="81">
        <f t="shared" si="2"/>
        <v>11.22</v>
      </c>
      <c r="E18" s="81">
        <f t="shared" si="3"/>
        <v>0.93500000000000005</v>
      </c>
    </row>
    <row r="19" spans="1:5" x14ac:dyDescent="0.2">
      <c r="A19" s="44" t="s">
        <v>166</v>
      </c>
      <c r="B19" s="78">
        <v>3</v>
      </c>
      <c r="C19" s="81">
        <v>15.8</v>
      </c>
      <c r="D19" s="81">
        <f t="shared" si="2"/>
        <v>47.400000000000006</v>
      </c>
      <c r="E19" s="81">
        <f t="shared" si="3"/>
        <v>3.9500000000000006</v>
      </c>
    </row>
    <row r="20" spans="1:5" x14ac:dyDescent="0.2">
      <c r="A20" s="44" t="s">
        <v>167</v>
      </c>
      <c r="B20" s="78">
        <v>2</v>
      </c>
      <c r="C20" s="81">
        <v>143.38</v>
      </c>
      <c r="D20" s="81">
        <f t="shared" si="2"/>
        <v>286.76</v>
      </c>
      <c r="E20" s="81">
        <f t="shared" si="3"/>
        <v>23.896666666666665</v>
      </c>
    </row>
    <row r="21" spans="1:5" x14ac:dyDescent="0.2">
      <c r="A21" s="271" t="s">
        <v>28</v>
      </c>
      <c r="B21" s="272"/>
      <c r="C21" s="273"/>
      <c r="D21" s="82">
        <f>SUM(D14:D20)</f>
        <v>779.24</v>
      </c>
      <c r="E21" s="82">
        <f>SUM(E14:E20)</f>
        <v>64.936666666666667</v>
      </c>
    </row>
  </sheetData>
  <mergeCells count="4">
    <mergeCell ref="A1:E1"/>
    <mergeCell ref="A10:C10"/>
    <mergeCell ref="A12:E12"/>
    <mergeCell ref="A21:C21"/>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D32EA-ABDF-4F39-AC87-CE42CB5B79A3}">
  <dimension ref="A1:H16"/>
  <sheetViews>
    <sheetView topLeftCell="A16" workbookViewId="0">
      <selection activeCell="D25" sqref="D25"/>
    </sheetView>
  </sheetViews>
  <sheetFormatPr defaultRowHeight="15" x14ac:dyDescent="0.25"/>
  <cols>
    <col min="1" max="1" width="36.7109375" style="106" bestFit="1" customWidth="1"/>
    <col min="2" max="5" width="10.5703125" style="106" bestFit="1" customWidth="1"/>
    <col min="6" max="6" width="16.5703125" style="106" customWidth="1"/>
    <col min="7" max="7" width="13" style="106" customWidth="1"/>
    <col min="8" max="8" width="18.7109375" style="106" customWidth="1"/>
    <col min="9" max="16384" width="9.140625" style="106"/>
  </cols>
  <sheetData>
    <row r="1" spans="1:8" ht="15.75" x14ac:dyDescent="0.25">
      <c r="A1" s="104" t="s">
        <v>196</v>
      </c>
      <c r="B1" s="105" t="s">
        <v>197</v>
      </c>
      <c r="C1" s="105" t="s">
        <v>198</v>
      </c>
      <c r="D1" s="105" t="s">
        <v>199</v>
      </c>
      <c r="E1" s="105" t="s">
        <v>200</v>
      </c>
      <c r="F1" s="105" t="s">
        <v>201</v>
      </c>
      <c r="G1" s="105" t="s">
        <v>202</v>
      </c>
      <c r="H1" s="105" t="s">
        <v>203</v>
      </c>
    </row>
    <row r="2" spans="1:8" ht="150" x14ac:dyDescent="0.25">
      <c r="A2" s="107" t="s">
        <v>204</v>
      </c>
      <c r="B2" s="108">
        <v>254.57</v>
      </c>
      <c r="C2" s="108">
        <v>179.9</v>
      </c>
      <c r="D2" s="108">
        <v>245</v>
      </c>
      <c r="E2" s="108">
        <f>(B2+C2+D2)/3</f>
        <v>226.49</v>
      </c>
      <c r="F2" s="109" t="s">
        <v>205</v>
      </c>
      <c r="G2" s="109" t="s">
        <v>206</v>
      </c>
      <c r="H2" s="109" t="s">
        <v>207</v>
      </c>
    </row>
    <row r="3" spans="1:8" ht="90" x14ac:dyDescent="0.25">
      <c r="A3" s="107" t="s">
        <v>208</v>
      </c>
      <c r="B3" s="108">
        <v>99.1</v>
      </c>
      <c r="C3" s="108">
        <v>91.2</v>
      </c>
      <c r="D3" s="108">
        <v>89</v>
      </c>
      <c r="E3" s="108">
        <f t="shared" ref="E3:E14" si="0">(B3+C3+D3)/3</f>
        <v>93.100000000000009</v>
      </c>
      <c r="F3" s="109" t="s">
        <v>209</v>
      </c>
      <c r="G3" s="109" t="s">
        <v>210</v>
      </c>
      <c r="H3" s="109" t="s">
        <v>211</v>
      </c>
    </row>
    <row r="4" spans="1:8" ht="90" x14ac:dyDescent="0.25">
      <c r="A4" s="107" t="s">
        <v>212</v>
      </c>
      <c r="B4" s="108">
        <v>95.9</v>
      </c>
      <c r="C4" s="108">
        <v>99</v>
      </c>
      <c r="D4" s="108">
        <v>29.9</v>
      </c>
      <c r="E4" s="108">
        <f t="shared" si="0"/>
        <v>74.933333333333337</v>
      </c>
      <c r="F4" s="109" t="s">
        <v>213</v>
      </c>
      <c r="G4" s="109" t="s">
        <v>214</v>
      </c>
      <c r="H4" s="109" t="s">
        <v>215</v>
      </c>
    </row>
    <row r="5" spans="1:8" ht="170.25" customHeight="1" x14ac:dyDescent="0.25">
      <c r="A5" s="107" t="s">
        <v>216</v>
      </c>
      <c r="B5" s="108">
        <v>19.7</v>
      </c>
      <c r="C5" s="108">
        <v>15.95</v>
      </c>
      <c r="D5" s="108">
        <v>29.95</v>
      </c>
      <c r="E5" s="108">
        <f t="shared" si="0"/>
        <v>21.866666666666664</v>
      </c>
      <c r="F5" s="109" t="s">
        <v>217</v>
      </c>
      <c r="G5" s="109" t="s">
        <v>218</v>
      </c>
      <c r="H5" s="109" t="s">
        <v>219</v>
      </c>
    </row>
    <row r="6" spans="1:8" ht="136.5" customHeight="1" x14ac:dyDescent="0.25">
      <c r="A6" s="107" t="s">
        <v>220</v>
      </c>
      <c r="B6" s="108">
        <v>65</v>
      </c>
      <c r="C6" s="108">
        <v>9</v>
      </c>
      <c r="D6" s="108">
        <v>29.9</v>
      </c>
      <c r="E6" s="108">
        <f t="shared" si="0"/>
        <v>34.633333333333333</v>
      </c>
      <c r="F6" s="109" t="s">
        <v>221</v>
      </c>
      <c r="G6" s="109" t="s">
        <v>222</v>
      </c>
      <c r="H6" s="109" t="s">
        <v>223</v>
      </c>
    </row>
    <row r="7" spans="1:8" ht="105" x14ac:dyDescent="0.25">
      <c r="A7" s="107" t="s">
        <v>224</v>
      </c>
      <c r="B7" s="108">
        <v>24.9</v>
      </c>
      <c r="C7" s="108">
        <v>16</v>
      </c>
      <c r="D7" s="108">
        <v>6.5</v>
      </c>
      <c r="E7" s="108">
        <f t="shared" si="0"/>
        <v>15.799999999999999</v>
      </c>
      <c r="F7" s="109" t="s">
        <v>225</v>
      </c>
      <c r="G7" s="109" t="s">
        <v>226</v>
      </c>
      <c r="H7" s="109" t="s">
        <v>227</v>
      </c>
    </row>
    <row r="8" spans="1:8" ht="195" x14ac:dyDescent="0.25">
      <c r="A8" s="107" t="s">
        <v>228</v>
      </c>
      <c r="B8" s="108">
        <v>94</v>
      </c>
      <c r="C8" s="108">
        <v>169.99</v>
      </c>
      <c r="D8" s="108">
        <v>166.16</v>
      </c>
      <c r="E8" s="108">
        <f t="shared" si="0"/>
        <v>143.38333333333333</v>
      </c>
      <c r="F8" s="109" t="s">
        <v>229</v>
      </c>
      <c r="G8" s="109" t="s">
        <v>230</v>
      </c>
      <c r="H8" s="109" t="s">
        <v>231</v>
      </c>
    </row>
    <row r="9" spans="1:8" x14ac:dyDescent="0.25">
      <c r="A9" s="275" t="s">
        <v>232</v>
      </c>
      <c r="B9" s="277">
        <v>24.15</v>
      </c>
      <c r="C9" s="277">
        <v>22.49</v>
      </c>
      <c r="D9" s="277">
        <v>22.37</v>
      </c>
      <c r="E9" s="277">
        <f t="shared" si="0"/>
        <v>23.003333333333334</v>
      </c>
      <c r="F9" s="274" t="s">
        <v>233</v>
      </c>
      <c r="G9" s="274" t="s">
        <v>234</v>
      </c>
      <c r="H9" s="274" t="s">
        <v>235</v>
      </c>
    </row>
    <row r="10" spans="1:8" x14ac:dyDescent="0.25">
      <c r="A10" s="276"/>
      <c r="B10" s="277"/>
      <c r="C10" s="277"/>
      <c r="D10" s="277"/>
      <c r="E10" s="277"/>
      <c r="F10" s="274"/>
      <c r="G10" s="274"/>
      <c r="H10" s="274"/>
    </row>
    <row r="11" spans="1:8" ht="199.5" customHeight="1" x14ac:dyDescent="0.25">
      <c r="A11" s="107" t="s">
        <v>212</v>
      </c>
      <c r="B11" s="108">
        <v>89.9</v>
      </c>
      <c r="C11" s="108">
        <v>69.989999999999995</v>
      </c>
      <c r="D11" s="108">
        <v>39</v>
      </c>
      <c r="E11" s="108">
        <f t="shared" si="0"/>
        <v>66.296666666666667</v>
      </c>
      <c r="F11" s="109" t="s">
        <v>236</v>
      </c>
      <c r="G11" s="109" t="s">
        <v>237</v>
      </c>
      <c r="H11" s="109" t="s">
        <v>238</v>
      </c>
    </row>
    <row r="12" spans="1:8" ht="195" x14ac:dyDescent="0.25">
      <c r="A12" s="107" t="s">
        <v>239</v>
      </c>
      <c r="B12" s="108">
        <v>14.74</v>
      </c>
      <c r="C12" s="108">
        <v>10.9</v>
      </c>
      <c r="D12" s="108">
        <v>12.27</v>
      </c>
      <c r="E12" s="108">
        <f t="shared" si="0"/>
        <v>12.636666666666665</v>
      </c>
      <c r="F12" s="109" t="s">
        <v>240</v>
      </c>
      <c r="G12" s="109" t="s">
        <v>241</v>
      </c>
      <c r="H12" s="109" t="s">
        <v>242</v>
      </c>
    </row>
    <row r="13" spans="1:8" ht="195" x14ac:dyDescent="0.25">
      <c r="A13" s="107" t="s">
        <v>228</v>
      </c>
      <c r="B13" s="108">
        <v>94</v>
      </c>
      <c r="C13" s="108">
        <v>169.99</v>
      </c>
      <c r="D13" s="108">
        <v>166.16</v>
      </c>
      <c r="E13" s="108">
        <f t="shared" si="0"/>
        <v>143.38333333333333</v>
      </c>
      <c r="F13" s="109" t="s">
        <v>229</v>
      </c>
      <c r="G13" s="109" t="s">
        <v>230</v>
      </c>
      <c r="H13" s="109" t="s">
        <v>231</v>
      </c>
    </row>
    <row r="14" spans="1:8" ht="105" x14ac:dyDescent="0.25">
      <c r="A14" s="107" t="s">
        <v>243</v>
      </c>
      <c r="B14" s="108">
        <v>24.9</v>
      </c>
      <c r="C14" s="108">
        <v>16</v>
      </c>
      <c r="D14" s="108">
        <v>6.5</v>
      </c>
      <c r="E14" s="108">
        <f t="shared" si="0"/>
        <v>15.799999999999999</v>
      </c>
      <c r="F14" s="109" t="s">
        <v>225</v>
      </c>
      <c r="G14" s="109" t="s">
        <v>226</v>
      </c>
      <c r="H14" s="109" t="s">
        <v>227</v>
      </c>
    </row>
    <row r="15" spans="1:8" ht="255" x14ac:dyDescent="0.25">
      <c r="A15" s="110" t="s">
        <v>185</v>
      </c>
      <c r="B15" s="111">
        <v>13.5</v>
      </c>
      <c r="C15" s="111">
        <v>42.5</v>
      </c>
      <c r="D15" s="111">
        <v>21.99</v>
      </c>
      <c r="E15" s="112">
        <f>(B15+C15+D15)/3</f>
        <v>25.996666666666666</v>
      </c>
      <c r="F15" s="110" t="s">
        <v>244</v>
      </c>
      <c r="G15" s="110" t="s">
        <v>245</v>
      </c>
      <c r="H15" s="110" t="s">
        <v>246</v>
      </c>
    </row>
    <row r="16" spans="1:8" ht="225" x14ac:dyDescent="0.25">
      <c r="A16" s="110" t="s">
        <v>186</v>
      </c>
      <c r="B16" s="111">
        <v>18.899999999999999</v>
      </c>
      <c r="C16" s="111">
        <v>28.8</v>
      </c>
      <c r="D16" s="111">
        <v>19</v>
      </c>
      <c r="E16" s="112">
        <f t="shared" ref="E16" si="1">(B16+C16+D16)/3</f>
        <v>22.233333333333334</v>
      </c>
      <c r="F16" s="110" t="s">
        <v>247</v>
      </c>
      <c r="G16" s="110" t="s">
        <v>248</v>
      </c>
      <c r="H16" s="110" t="s">
        <v>249</v>
      </c>
    </row>
  </sheetData>
  <mergeCells count="8">
    <mergeCell ref="G9:G10"/>
    <mergeCell ref="H9:H10"/>
    <mergeCell ref="A9:A10"/>
    <mergeCell ref="B9:B10"/>
    <mergeCell ref="C9:C10"/>
    <mergeCell ref="D9:D10"/>
    <mergeCell ref="E9:E10"/>
    <mergeCell ref="F9:F10"/>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L55"/>
  <sheetViews>
    <sheetView topLeftCell="A34" workbookViewId="0">
      <selection activeCell="E59" sqref="E59"/>
    </sheetView>
  </sheetViews>
  <sheetFormatPr defaultRowHeight="15.75" x14ac:dyDescent="0.25"/>
  <cols>
    <col min="1" max="1" width="3.85546875" style="89" bestFit="1" customWidth="1"/>
    <col min="2" max="2" width="60.5703125" style="3" customWidth="1"/>
    <col min="3" max="5" width="21.7109375" style="75" customWidth="1"/>
    <col min="6" max="7" width="21.7109375" style="3" customWidth="1"/>
    <col min="8" max="8" width="15.85546875" style="74" customWidth="1"/>
    <col min="9" max="13" width="18.7109375" style="74" customWidth="1"/>
    <col min="14" max="14" width="17.140625" style="74" customWidth="1"/>
    <col min="15" max="19" width="17.7109375" style="74" customWidth="1"/>
    <col min="20" max="20" width="18.28515625" style="74" customWidth="1"/>
    <col min="21" max="16384" width="9.140625" style="74"/>
  </cols>
  <sheetData>
    <row r="2" spans="1:19" x14ac:dyDescent="0.25">
      <c r="I2" s="283" t="s">
        <v>253</v>
      </c>
      <c r="J2" s="284"/>
      <c r="K2" s="284"/>
      <c r="L2" s="284"/>
      <c r="M2" s="285"/>
      <c r="O2" s="283" t="s">
        <v>257</v>
      </c>
      <c r="P2" s="284"/>
      <c r="Q2" s="284"/>
      <c r="R2" s="284"/>
      <c r="S2" s="285"/>
    </row>
    <row r="3" spans="1:19" ht="47.25" x14ac:dyDescent="0.25">
      <c r="A3" s="91"/>
      <c r="B3" s="97" t="s">
        <v>104</v>
      </c>
      <c r="C3" s="97" t="s">
        <v>105</v>
      </c>
      <c r="D3" s="97" t="s">
        <v>106</v>
      </c>
      <c r="E3" s="97" t="s">
        <v>107</v>
      </c>
      <c r="F3" s="97" t="s">
        <v>132</v>
      </c>
      <c r="G3" s="97" t="s">
        <v>131</v>
      </c>
      <c r="I3" s="97" t="s">
        <v>105</v>
      </c>
      <c r="J3" s="97" t="s">
        <v>106</v>
      </c>
      <c r="K3" s="97" t="s">
        <v>107</v>
      </c>
      <c r="L3" s="97" t="s">
        <v>132</v>
      </c>
      <c r="M3" s="97" t="s">
        <v>131</v>
      </c>
      <c r="O3" s="97" t="s">
        <v>105</v>
      </c>
      <c r="P3" s="97" t="s">
        <v>106</v>
      </c>
      <c r="Q3" s="97" t="s">
        <v>107</v>
      </c>
      <c r="R3" s="97" t="s">
        <v>132</v>
      </c>
      <c r="S3" s="97" t="s">
        <v>131</v>
      </c>
    </row>
    <row r="4" spans="1:19" x14ac:dyDescent="0.25">
      <c r="A4" s="91">
        <v>1</v>
      </c>
      <c r="B4" s="96" t="s">
        <v>108</v>
      </c>
      <c r="C4" s="93" t="s">
        <v>125</v>
      </c>
      <c r="D4" s="98">
        <v>4</v>
      </c>
      <c r="E4" s="98">
        <f t="shared" ref="E4:E25" si="0">D4*12</f>
        <v>48</v>
      </c>
      <c r="F4" s="99">
        <v>17.66</v>
      </c>
      <c r="G4" s="99">
        <f t="shared" ref="G4:G25" si="1">D4*F4</f>
        <v>70.64</v>
      </c>
      <c r="I4" s="93" t="s">
        <v>125</v>
      </c>
      <c r="J4" s="98">
        <v>4</v>
      </c>
      <c r="K4" s="98">
        <f t="shared" ref="K4:K25" si="2">J4*12</f>
        <v>48</v>
      </c>
      <c r="L4" s="99">
        <v>0</v>
      </c>
      <c r="M4" s="99">
        <f t="shared" ref="M4:M25" si="3">J4*L4</f>
        <v>0</v>
      </c>
      <c r="O4" s="93" t="s">
        <v>125</v>
      </c>
      <c r="P4" s="98">
        <v>4</v>
      </c>
      <c r="Q4" s="98">
        <f t="shared" ref="Q4:Q25" si="4">P4*12</f>
        <v>48</v>
      </c>
      <c r="R4" s="99">
        <v>19.850000000000001</v>
      </c>
      <c r="S4" s="99">
        <f t="shared" ref="S4:S25" si="5">P4*R4</f>
        <v>79.400000000000006</v>
      </c>
    </row>
    <row r="5" spans="1:19" ht="30.75" x14ac:dyDescent="0.25">
      <c r="A5" s="91">
        <v>2</v>
      </c>
      <c r="B5" s="96" t="s">
        <v>133</v>
      </c>
      <c r="C5" s="93" t="s">
        <v>126</v>
      </c>
      <c r="D5" s="98">
        <v>20</v>
      </c>
      <c r="E5" s="98">
        <f t="shared" si="0"/>
        <v>240</v>
      </c>
      <c r="F5" s="99">
        <v>4.29</v>
      </c>
      <c r="G5" s="99">
        <f t="shared" si="1"/>
        <v>85.8</v>
      </c>
      <c r="I5" s="93" t="s">
        <v>126</v>
      </c>
      <c r="J5" s="98">
        <v>20</v>
      </c>
      <c r="K5" s="98">
        <f t="shared" si="2"/>
        <v>240</v>
      </c>
      <c r="L5" s="99">
        <v>0</v>
      </c>
      <c r="M5" s="99">
        <f t="shared" si="3"/>
        <v>0</v>
      </c>
      <c r="O5" s="93" t="s">
        <v>126</v>
      </c>
      <c r="P5" s="98">
        <v>20</v>
      </c>
      <c r="Q5" s="98">
        <f t="shared" si="4"/>
        <v>240</v>
      </c>
      <c r="R5" s="99">
        <v>7.4</v>
      </c>
      <c r="S5" s="99">
        <f t="shared" si="5"/>
        <v>148</v>
      </c>
    </row>
    <row r="6" spans="1:19" x14ac:dyDescent="0.25">
      <c r="A6" s="91">
        <v>3</v>
      </c>
      <c r="B6" s="96" t="s">
        <v>109</v>
      </c>
      <c r="C6" s="93" t="s">
        <v>188</v>
      </c>
      <c r="D6" s="98">
        <v>2400</v>
      </c>
      <c r="E6" s="98">
        <f t="shared" si="0"/>
        <v>28800</v>
      </c>
      <c r="F6" s="99">
        <v>12.59</v>
      </c>
      <c r="G6" s="99">
        <f t="shared" si="1"/>
        <v>30216</v>
      </c>
      <c r="I6" s="93" t="s">
        <v>188</v>
      </c>
      <c r="J6" s="98">
        <v>2400</v>
      </c>
      <c r="K6" s="98">
        <f t="shared" si="2"/>
        <v>28800</v>
      </c>
      <c r="L6" s="99">
        <v>0</v>
      </c>
      <c r="M6" s="99">
        <f t="shared" si="3"/>
        <v>0</v>
      </c>
      <c r="O6" s="93" t="s">
        <v>188</v>
      </c>
      <c r="P6" s="98">
        <v>2400</v>
      </c>
      <c r="Q6" s="98">
        <f t="shared" si="4"/>
        <v>28800</v>
      </c>
      <c r="R6" s="99">
        <v>8.73</v>
      </c>
      <c r="S6" s="99">
        <f t="shared" si="5"/>
        <v>20952</v>
      </c>
    </row>
    <row r="7" spans="1:19" x14ac:dyDescent="0.25">
      <c r="A7" s="91">
        <v>4</v>
      </c>
      <c r="B7" s="96" t="s">
        <v>110</v>
      </c>
      <c r="C7" s="93" t="s">
        <v>126</v>
      </c>
      <c r="D7" s="98">
        <v>5</v>
      </c>
      <c r="E7" s="98">
        <f t="shared" si="0"/>
        <v>60</v>
      </c>
      <c r="F7" s="99">
        <v>2.39</v>
      </c>
      <c r="G7" s="99">
        <f t="shared" si="1"/>
        <v>11.950000000000001</v>
      </c>
      <c r="I7" s="93" t="s">
        <v>126</v>
      </c>
      <c r="J7" s="98">
        <v>5</v>
      </c>
      <c r="K7" s="98">
        <f t="shared" si="2"/>
        <v>60</v>
      </c>
      <c r="L7" s="128">
        <v>2.36</v>
      </c>
      <c r="M7" s="99">
        <f t="shared" si="3"/>
        <v>11.799999999999999</v>
      </c>
      <c r="O7" s="93" t="s">
        <v>126</v>
      </c>
      <c r="P7" s="98">
        <v>5</v>
      </c>
      <c r="Q7" s="98">
        <f t="shared" si="4"/>
        <v>60</v>
      </c>
      <c r="R7" s="128">
        <v>2.27</v>
      </c>
      <c r="S7" s="99">
        <f t="shared" si="5"/>
        <v>11.35</v>
      </c>
    </row>
    <row r="8" spans="1:19" x14ac:dyDescent="0.25">
      <c r="A8" s="91">
        <v>5</v>
      </c>
      <c r="B8" s="96" t="s">
        <v>111</v>
      </c>
      <c r="C8" s="93" t="s">
        <v>126</v>
      </c>
      <c r="D8" s="98">
        <v>9</v>
      </c>
      <c r="E8" s="98">
        <f t="shared" si="0"/>
        <v>108</v>
      </c>
      <c r="F8" s="99">
        <v>8.0399999999999991</v>
      </c>
      <c r="G8" s="99">
        <f t="shared" si="1"/>
        <v>72.359999999999985</v>
      </c>
      <c r="I8" s="93" t="s">
        <v>126</v>
      </c>
      <c r="J8" s="98">
        <v>9</v>
      </c>
      <c r="K8" s="98">
        <f t="shared" si="2"/>
        <v>108</v>
      </c>
      <c r="L8" s="128">
        <v>7.05</v>
      </c>
      <c r="M8" s="99">
        <f t="shared" si="3"/>
        <v>63.449999999999996</v>
      </c>
      <c r="O8" s="93" t="s">
        <v>126</v>
      </c>
      <c r="P8" s="98">
        <v>9</v>
      </c>
      <c r="Q8" s="98">
        <f t="shared" si="4"/>
        <v>108</v>
      </c>
      <c r="R8" s="128">
        <v>4.49</v>
      </c>
      <c r="S8" s="99">
        <f t="shared" si="5"/>
        <v>40.410000000000004</v>
      </c>
    </row>
    <row r="9" spans="1:19" ht="30.75" x14ac:dyDescent="0.25">
      <c r="A9" s="91">
        <v>6</v>
      </c>
      <c r="B9" s="96" t="s">
        <v>112</v>
      </c>
      <c r="C9" s="93" t="s">
        <v>128</v>
      </c>
      <c r="D9" s="98">
        <v>140</v>
      </c>
      <c r="E9" s="98">
        <f t="shared" si="0"/>
        <v>1680</v>
      </c>
      <c r="F9" s="99">
        <v>19.829999999999998</v>
      </c>
      <c r="G9" s="99">
        <f t="shared" si="1"/>
        <v>2776.2</v>
      </c>
      <c r="I9" s="93" t="s">
        <v>128</v>
      </c>
      <c r="J9" s="98">
        <v>140</v>
      </c>
      <c r="K9" s="98">
        <f t="shared" si="2"/>
        <v>1680</v>
      </c>
      <c r="L9" s="99">
        <v>0</v>
      </c>
      <c r="M9" s="99">
        <f t="shared" si="3"/>
        <v>0</v>
      </c>
      <c r="O9" s="93" t="s">
        <v>128</v>
      </c>
      <c r="P9" s="98">
        <v>140</v>
      </c>
      <c r="Q9" s="98">
        <f t="shared" si="4"/>
        <v>1680</v>
      </c>
      <c r="R9" s="99">
        <v>17.100000000000001</v>
      </c>
      <c r="S9" s="99">
        <f t="shared" si="5"/>
        <v>2394</v>
      </c>
    </row>
    <row r="10" spans="1:19" x14ac:dyDescent="0.25">
      <c r="A10" s="91">
        <v>7</v>
      </c>
      <c r="B10" s="96" t="s">
        <v>123</v>
      </c>
      <c r="C10" s="93" t="s">
        <v>126</v>
      </c>
      <c r="D10" s="98">
        <v>5</v>
      </c>
      <c r="E10" s="98">
        <f t="shared" si="0"/>
        <v>60</v>
      </c>
      <c r="F10" s="99">
        <v>23.68</v>
      </c>
      <c r="G10" s="99">
        <f t="shared" si="1"/>
        <v>118.4</v>
      </c>
      <c r="I10" s="93" t="s">
        <v>126</v>
      </c>
      <c r="J10" s="98">
        <v>5</v>
      </c>
      <c r="K10" s="98">
        <f t="shared" si="2"/>
        <v>60</v>
      </c>
      <c r="L10" s="99">
        <v>0</v>
      </c>
      <c r="M10" s="99">
        <f t="shared" si="3"/>
        <v>0</v>
      </c>
      <c r="O10" s="93" t="s">
        <v>126</v>
      </c>
      <c r="P10" s="98">
        <v>5</v>
      </c>
      <c r="Q10" s="98">
        <f t="shared" si="4"/>
        <v>60</v>
      </c>
      <c r="R10" s="99">
        <v>20.43</v>
      </c>
      <c r="S10" s="99">
        <f t="shared" si="5"/>
        <v>102.15</v>
      </c>
    </row>
    <row r="11" spans="1:19" ht="30.75" x14ac:dyDescent="0.25">
      <c r="A11" s="91">
        <v>8</v>
      </c>
      <c r="B11" s="96" t="s">
        <v>135</v>
      </c>
      <c r="C11" s="93" t="s">
        <v>187</v>
      </c>
      <c r="D11" s="98">
        <v>455</v>
      </c>
      <c r="E11" s="98">
        <f t="shared" si="0"/>
        <v>5460</v>
      </c>
      <c r="F11" s="99">
        <v>10.16</v>
      </c>
      <c r="G11" s="99">
        <f t="shared" si="1"/>
        <v>4622.8</v>
      </c>
      <c r="I11" s="93" t="s">
        <v>187</v>
      </c>
      <c r="J11" s="98">
        <v>455</v>
      </c>
      <c r="K11" s="98">
        <f t="shared" si="2"/>
        <v>5460</v>
      </c>
      <c r="L11" s="99">
        <v>0</v>
      </c>
      <c r="M11" s="99">
        <f t="shared" si="3"/>
        <v>0</v>
      </c>
      <c r="O11" s="93" t="s">
        <v>187</v>
      </c>
      <c r="P11" s="98">
        <v>455</v>
      </c>
      <c r="Q11" s="98">
        <f t="shared" si="4"/>
        <v>5460</v>
      </c>
      <c r="R11" s="99">
        <v>3.88</v>
      </c>
      <c r="S11" s="99">
        <f t="shared" si="5"/>
        <v>1765.3999999999999</v>
      </c>
    </row>
    <row r="12" spans="1:19" ht="30.75" x14ac:dyDescent="0.25">
      <c r="A12" s="91">
        <v>9</v>
      </c>
      <c r="B12" s="96" t="s">
        <v>113</v>
      </c>
      <c r="C12" s="93" t="s">
        <v>126</v>
      </c>
      <c r="D12" s="98">
        <v>15</v>
      </c>
      <c r="E12" s="98">
        <f t="shared" si="0"/>
        <v>180</v>
      </c>
      <c r="F12" s="99">
        <v>2.0299999999999998</v>
      </c>
      <c r="G12" s="99">
        <f t="shared" si="1"/>
        <v>30.449999999999996</v>
      </c>
      <c r="I12" s="93" t="s">
        <v>126</v>
      </c>
      <c r="J12" s="98">
        <v>15</v>
      </c>
      <c r="K12" s="98">
        <f t="shared" si="2"/>
        <v>180</v>
      </c>
      <c r="L12" s="128">
        <v>1.74</v>
      </c>
      <c r="M12" s="99">
        <f t="shared" si="3"/>
        <v>26.1</v>
      </c>
      <c r="O12" s="93" t="s">
        <v>126</v>
      </c>
      <c r="P12" s="98">
        <v>15</v>
      </c>
      <c r="Q12" s="98">
        <f t="shared" si="4"/>
        <v>180</v>
      </c>
      <c r="R12" s="128">
        <v>1.3</v>
      </c>
      <c r="S12" s="99">
        <f t="shared" si="5"/>
        <v>19.5</v>
      </c>
    </row>
    <row r="13" spans="1:19" x14ac:dyDescent="0.25">
      <c r="A13" s="91">
        <v>10</v>
      </c>
      <c r="B13" s="96" t="s">
        <v>114</v>
      </c>
      <c r="C13" s="93" t="s">
        <v>128</v>
      </c>
      <c r="D13" s="98">
        <v>3</v>
      </c>
      <c r="E13" s="98">
        <f t="shared" si="0"/>
        <v>36</v>
      </c>
      <c r="F13" s="99">
        <v>2.69</v>
      </c>
      <c r="G13" s="99">
        <f t="shared" si="1"/>
        <v>8.07</v>
      </c>
      <c r="I13" s="93" t="s">
        <v>128</v>
      </c>
      <c r="J13" s="98">
        <v>3</v>
      </c>
      <c r="K13" s="98">
        <f t="shared" si="2"/>
        <v>36</v>
      </c>
      <c r="L13" s="128">
        <v>1.84</v>
      </c>
      <c r="M13" s="99">
        <f t="shared" si="3"/>
        <v>5.5200000000000005</v>
      </c>
      <c r="O13" s="93" t="s">
        <v>128</v>
      </c>
      <c r="P13" s="98">
        <v>3</v>
      </c>
      <c r="Q13" s="98">
        <f t="shared" si="4"/>
        <v>36</v>
      </c>
      <c r="R13" s="128">
        <v>2.0099999999999998</v>
      </c>
      <c r="S13" s="99">
        <f t="shared" si="5"/>
        <v>6.0299999999999994</v>
      </c>
    </row>
    <row r="14" spans="1:19" x14ac:dyDescent="0.25">
      <c r="A14" s="91">
        <v>11</v>
      </c>
      <c r="B14" s="96" t="s">
        <v>134</v>
      </c>
      <c r="C14" s="93" t="s">
        <v>126</v>
      </c>
      <c r="D14" s="98">
        <v>10</v>
      </c>
      <c r="E14" s="98">
        <f t="shared" si="0"/>
        <v>120</v>
      </c>
      <c r="F14" s="99">
        <v>0.84</v>
      </c>
      <c r="G14" s="99">
        <f t="shared" si="1"/>
        <v>8.4</v>
      </c>
      <c r="I14" s="93" t="s">
        <v>126</v>
      </c>
      <c r="J14" s="98">
        <v>10</v>
      </c>
      <c r="K14" s="98">
        <f t="shared" si="2"/>
        <v>120</v>
      </c>
      <c r="L14" s="128">
        <v>1.36</v>
      </c>
      <c r="M14" s="99">
        <f t="shared" si="3"/>
        <v>13.600000000000001</v>
      </c>
      <c r="O14" s="93" t="s">
        <v>126</v>
      </c>
      <c r="P14" s="98">
        <v>10</v>
      </c>
      <c r="Q14" s="98">
        <f t="shared" si="4"/>
        <v>120</v>
      </c>
      <c r="R14" s="128">
        <v>1.33</v>
      </c>
      <c r="S14" s="99">
        <f t="shared" si="5"/>
        <v>13.3</v>
      </c>
    </row>
    <row r="15" spans="1:19" x14ac:dyDescent="0.25">
      <c r="A15" s="91">
        <v>12</v>
      </c>
      <c r="B15" s="96" t="s">
        <v>115</v>
      </c>
      <c r="C15" s="93" t="s">
        <v>126</v>
      </c>
      <c r="D15" s="98">
        <v>10</v>
      </c>
      <c r="E15" s="98">
        <f t="shared" si="0"/>
        <v>120</v>
      </c>
      <c r="F15" s="99">
        <v>33.33</v>
      </c>
      <c r="G15" s="99">
        <f t="shared" si="1"/>
        <v>333.29999999999995</v>
      </c>
      <c r="I15" s="93" t="s">
        <v>126</v>
      </c>
      <c r="J15" s="98">
        <v>10</v>
      </c>
      <c r="K15" s="98">
        <f t="shared" si="2"/>
        <v>120</v>
      </c>
      <c r="L15" s="128">
        <v>0.65</v>
      </c>
      <c r="M15" s="99">
        <f t="shared" si="3"/>
        <v>6.5</v>
      </c>
      <c r="O15" s="93" t="s">
        <v>126</v>
      </c>
      <c r="P15" s="98">
        <v>10</v>
      </c>
      <c r="Q15" s="98">
        <f t="shared" si="4"/>
        <v>120</v>
      </c>
      <c r="R15" s="128">
        <v>8.7799999999999994</v>
      </c>
      <c r="S15" s="99">
        <f t="shared" si="5"/>
        <v>87.8</v>
      </c>
    </row>
    <row r="16" spans="1:19" x14ac:dyDescent="0.25">
      <c r="A16" s="91">
        <v>13</v>
      </c>
      <c r="B16" s="96" t="s">
        <v>157</v>
      </c>
      <c r="C16" s="93" t="s">
        <v>126</v>
      </c>
      <c r="D16" s="98">
        <v>6</v>
      </c>
      <c r="E16" s="98">
        <f t="shared" si="0"/>
        <v>72</v>
      </c>
      <c r="F16" s="99">
        <v>28.97</v>
      </c>
      <c r="G16" s="99">
        <f t="shared" si="1"/>
        <v>173.82</v>
      </c>
      <c r="I16" s="93" t="s">
        <v>126</v>
      </c>
      <c r="J16" s="98">
        <v>6</v>
      </c>
      <c r="K16" s="98">
        <f t="shared" si="2"/>
        <v>72</v>
      </c>
      <c r="L16" s="99">
        <v>0</v>
      </c>
      <c r="M16" s="99">
        <f t="shared" si="3"/>
        <v>0</v>
      </c>
      <c r="O16" s="93" t="s">
        <v>126</v>
      </c>
      <c r="P16" s="98">
        <v>6</v>
      </c>
      <c r="Q16" s="98">
        <f t="shared" si="4"/>
        <v>72</v>
      </c>
      <c r="R16" s="99">
        <v>8.7799999999999994</v>
      </c>
      <c r="S16" s="99">
        <f t="shared" si="5"/>
        <v>52.679999999999993</v>
      </c>
    </row>
    <row r="17" spans="1:38" ht="30.75" x14ac:dyDescent="0.25">
      <c r="A17" s="91">
        <v>14</v>
      </c>
      <c r="B17" s="96" t="s">
        <v>124</v>
      </c>
      <c r="C17" s="93" t="s">
        <v>126</v>
      </c>
      <c r="D17" s="98">
        <v>15</v>
      </c>
      <c r="E17" s="98">
        <f t="shared" si="0"/>
        <v>180</v>
      </c>
      <c r="F17" s="99">
        <v>5.71</v>
      </c>
      <c r="G17" s="99">
        <f t="shared" si="1"/>
        <v>85.65</v>
      </c>
      <c r="I17" s="93" t="s">
        <v>126</v>
      </c>
      <c r="J17" s="98">
        <v>15</v>
      </c>
      <c r="K17" s="98">
        <f t="shared" si="2"/>
        <v>180</v>
      </c>
      <c r="L17" s="99">
        <v>0</v>
      </c>
      <c r="M17" s="99">
        <f t="shared" si="3"/>
        <v>0</v>
      </c>
      <c r="O17" s="93" t="s">
        <v>126</v>
      </c>
      <c r="P17" s="98">
        <v>15</v>
      </c>
      <c r="Q17" s="98">
        <f t="shared" si="4"/>
        <v>180</v>
      </c>
      <c r="R17" s="99">
        <v>8.4700000000000006</v>
      </c>
      <c r="S17" s="99">
        <f t="shared" si="5"/>
        <v>127.05000000000001</v>
      </c>
    </row>
    <row r="18" spans="1:38" x14ac:dyDescent="0.25">
      <c r="A18" s="91">
        <v>15</v>
      </c>
      <c r="B18" s="96" t="s">
        <v>192</v>
      </c>
      <c r="C18" s="93" t="s">
        <v>127</v>
      </c>
      <c r="D18" s="98">
        <v>4</v>
      </c>
      <c r="E18" s="98">
        <f t="shared" si="0"/>
        <v>48</v>
      </c>
      <c r="F18" s="100">
        <v>5.61</v>
      </c>
      <c r="G18" s="100">
        <f t="shared" si="1"/>
        <v>22.44</v>
      </c>
      <c r="I18" s="93" t="s">
        <v>127</v>
      </c>
      <c r="J18" s="98">
        <v>4</v>
      </c>
      <c r="K18" s="98">
        <f t="shared" si="2"/>
        <v>48</v>
      </c>
      <c r="L18" s="128">
        <v>2.83</v>
      </c>
      <c r="M18" s="100">
        <f t="shared" si="3"/>
        <v>11.32</v>
      </c>
      <c r="O18" s="93" t="s">
        <v>127</v>
      </c>
      <c r="P18" s="98">
        <v>4</v>
      </c>
      <c r="Q18" s="98">
        <f t="shared" si="4"/>
        <v>48</v>
      </c>
      <c r="R18" s="128">
        <v>3.06</v>
      </c>
      <c r="S18" s="100">
        <f t="shared" si="5"/>
        <v>12.24</v>
      </c>
    </row>
    <row r="19" spans="1:38" x14ac:dyDescent="0.25">
      <c r="A19" s="91">
        <v>16</v>
      </c>
      <c r="B19" s="96" t="s">
        <v>116</v>
      </c>
      <c r="C19" s="93" t="s">
        <v>126</v>
      </c>
      <c r="D19" s="98">
        <v>6</v>
      </c>
      <c r="E19" s="98">
        <f t="shared" si="0"/>
        <v>72</v>
      </c>
      <c r="F19" s="99">
        <v>3.5</v>
      </c>
      <c r="G19" s="99">
        <f t="shared" si="1"/>
        <v>21</v>
      </c>
      <c r="I19" s="93" t="s">
        <v>126</v>
      </c>
      <c r="J19" s="98">
        <v>6</v>
      </c>
      <c r="K19" s="98">
        <f t="shared" si="2"/>
        <v>72</v>
      </c>
      <c r="L19" s="128">
        <v>2.93</v>
      </c>
      <c r="M19" s="99">
        <f t="shared" si="3"/>
        <v>17.580000000000002</v>
      </c>
      <c r="O19" s="93" t="s">
        <v>126</v>
      </c>
      <c r="P19" s="98">
        <v>6</v>
      </c>
      <c r="Q19" s="98">
        <f t="shared" si="4"/>
        <v>72</v>
      </c>
      <c r="R19" s="128">
        <v>2.5</v>
      </c>
      <c r="S19" s="99">
        <f t="shared" si="5"/>
        <v>15</v>
      </c>
    </row>
    <row r="20" spans="1:38" x14ac:dyDescent="0.25">
      <c r="A20" s="91">
        <v>17</v>
      </c>
      <c r="B20" s="96" t="s">
        <v>117</v>
      </c>
      <c r="C20" s="93" t="s">
        <v>126</v>
      </c>
      <c r="D20" s="98">
        <v>8</v>
      </c>
      <c r="E20" s="98">
        <f t="shared" si="0"/>
        <v>96</v>
      </c>
      <c r="F20" s="99">
        <v>6.01</v>
      </c>
      <c r="G20" s="99">
        <f t="shared" si="1"/>
        <v>48.08</v>
      </c>
      <c r="I20" s="93" t="s">
        <v>126</v>
      </c>
      <c r="J20" s="98">
        <v>8</v>
      </c>
      <c r="K20" s="98">
        <f t="shared" si="2"/>
        <v>96</v>
      </c>
      <c r="L20" s="128">
        <v>2.25</v>
      </c>
      <c r="M20" s="99">
        <f t="shared" si="3"/>
        <v>18</v>
      </c>
      <c r="O20" s="93" t="s">
        <v>126</v>
      </c>
      <c r="P20" s="98">
        <v>8</v>
      </c>
      <c r="Q20" s="98">
        <f t="shared" si="4"/>
        <v>96</v>
      </c>
      <c r="R20" s="128">
        <v>2.4</v>
      </c>
      <c r="S20" s="99">
        <f t="shared" si="5"/>
        <v>19.2</v>
      </c>
    </row>
    <row r="21" spans="1:38" x14ac:dyDescent="0.25">
      <c r="A21" s="91">
        <v>18</v>
      </c>
      <c r="B21" s="96" t="s">
        <v>118</v>
      </c>
      <c r="C21" s="93" t="s">
        <v>128</v>
      </c>
      <c r="D21" s="98">
        <v>2</v>
      </c>
      <c r="E21" s="98">
        <f t="shared" si="0"/>
        <v>24</v>
      </c>
      <c r="F21" s="99">
        <v>8.1300000000000008</v>
      </c>
      <c r="G21" s="99">
        <f t="shared" si="1"/>
        <v>16.260000000000002</v>
      </c>
      <c r="I21" s="93" t="s">
        <v>128</v>
      </c>
      <c r="J21" s="98">
        <v>2</v>
      </c>
      <c r="K21" s="98">
        <f t="shared" si="2"/>
        <v>24</v>
      </c>
      <c r="L21" s="99">
        <v>0</v>
      </c>
      <c r="M21" s="99">
        <f t="shared" si="3"/>
        <v>0</v>
      </c>
      <c r="O21" s="93" t="s">
        <v>128</v>
      </c>
      <c r="P21" s="98">
        <v>2</v>
      </c>
      <c r="Q21" s="98">
        <f t="shared" si="4"/>
        <v>24</v>
      </c>
      <c r="R21" s="99">
        <v>2.9</v>
      </c>
      <c r="S21" s="99">
        <f t="shared" si="5"/>
        <v>5.8</v>
      </c>
    </row>
    <row r="22" spans="1:38" x14ac:dyDescent="0.25">
      <c r="A22" s="91">
        <v>19</v>
      </c>
      <c r="B22" s="96" t="s">
        <v>119</v>
      </c>
      <c r="C22" s="93" t="s">
        <v>129</v>
      </c>
      <c r="D22" s="98">
        <v>20</v>
      </c>
      <c r="E22" s="98">
        <f t="shared" si="0"/>
        <v>240</v>
      </c>
      <c r="F22" s="99">
        <v>4.09</v>
      </c>
      <c r="G22" s="99">
        <f t="shared" si="1"/>
        <v>81.8</v>
      </c>
      <c r="I22" s="93" t="s">
        <v>129</v>
      </c>
      <c r="J22" s="98">
        <v>20</v>
      </c>
      <c r="K22" s="98">
        <f t="shared" si="2"/>
        <v>240</v>
      </c>
      <c r="L22" s="128">
        <v>8.8699999999999992</v>
      </c>
      <c r="M22" s="99">
        <f t="shared" si="3"/>
        <v>177.39999999999998</v>
      </c>
      <c r="O22" s="93" t="s">
        <v>129</v>
      </c>
      <c r="P22" s="98">
        <v>20</v>
      </c>
      <c r="Q22" s="98">
        <f t="shared" si="4"/>
        <v>240</v>
      </c>
      <c r="R22" s="128">
        <v>1.81</v>
      </c>
      <c r="S22" s="99">
        <f t="shared" si="5"/>
        <v>36.200000000000003</v>
      </c>
    </row>
    <row r="23" spans="1:38" x14ac:dyDescent="0.25">
      <c r="A23" s="91">
        <v>20</v>
      </c>
      <c r="B23" s="96" t="s">
        <v>120</v>
      </c>
      <c r="C23" s="93" t="s">
        <v>130</v>
      </c>
      <c r="D23" s="98">
        <v>1</v>
      </c>
      <c r="E23" s="98">
        <f t="shared" si="0"/>
        <v>12</v>
      </c>
      <c r="F23" s="99">
        <v>12.88</v>
      </c>
      <c r="G23" s="99">
        <f t="shared" si="1"/>
        <v>12.88</v>
      </c>
      <c r="I23" s="93" t="s">
        <v>130</v>
      </c>
      <c r="J23" s="98">
        <v>1</v>
      </c>
      <c r="K23" s="98">
        <f t="shared" si="2"/>
        <v>12</v>
      </c>
      <c r="L23" s="128">
        <v>4.9400000000000004</v>
      </c>
      <c r="M23" s="99">
        <f t="shared" si="3"/>
        <v>4.9400000000000004</v>
      </c>
      <c r="O23" s="93" t="s">
        <v>130</v>
      </c>
      <c r="P23" s="98">
        <v>1</v>
      </c>
      <c r="Q23" s="98">
        <f t="shared" si="4"/>
        <v>12</v>
      </c>
      <c r="R23" s="128">
        <v>5.04</v>
      </c>
      <c r="S23" s="99">
        <f t="shared" si="5"/>
        <v>5.04</v>
      </c>
    </row>
    <row r="24" spans="1:38" x14ac:dyDescent="0.25">
      <c r="A24" s="91">
        <v>21</v>
      </c>
      <c r="B24" s="96" t="s">
        <v>121</v>
      </c>
      <c r="C24" s="93" t="s">
        <v>126</v>
      </c>
      <c r="D24" s="98">
        <v>10</v>
      </c>
      <c r="E24" s="98">
        <f t="shared" si="0"/>
        <v>120</v>
      </c>
      <c r="F24" s="99">
        <v>8.2799999999999994</v>
      </c>
      <c r="G24" s="99">
        <f t="shared" si="1"/>
        <v>82.8</v>
      </c>
      <c r="I24" s="93" t="s">
        <v>126</v>
      </c>
      <c r="J24" s="98">
        <v>10</v>
      </c>
      <c r="K24" s="98">
        <f t="shared" si="2"/>
        <v>120</v>
      </c>
      <c r="L24" s="128">
        <v>2.92</v>
      </c>
      <c r="M24" s="99">
        <f t="shared" si="3"/>
        <v>29.2</v>
      </c>
      <c r="O24" s="93" t="s">
        <v>126</v>
      </c>
      <c r="P24" s="98">
        <v>10</v>
      </c>
      <c r="Q24" s="98">
        <f t="shared" si="4"/>
        <v>120</v>
      </c>
      <c r="R24" s="128">
        <v>4.24</v>
      </c>
      <c r="S24" s="99">
        <f t="shared" si="5"/>
        <v>42.400000000000006</v>
      </c>
    </row>
    <row r="25" spans="1:38" ht="31.5" thickBot="1" x14ac:dyDescent="0.3">
      <c r="A25" s="91">
        <v>22</v>
      </c>
      <c r="B25" s="96" t="s">
        <v>122</v>
      </c>
      <c r="C25" s="93" t="s">
        <v>128</v>
      </c>
      <c r="D25" s="98">
        <v>2</v>
      </c>
      <c r="E25" s="98">
        <f t="shared" si="0"/>
        <v>24</v>
      </c>
      <c r="F25" s="99">
        <v>37.57</v>
      </c>
      <c r="G25" s="133">
        <f t="shared" si="1"/>
        <v>75.14</v>
      </c>
      <c r="I25" s="93" t="s">
        <v>128</v>
      </c>
      <c r="J25" s="98">
        <v>2</v>
      </c>
      <c r="K25" s="98">
        <f t="shared" si="2"/>
        <v>24</v>
      </c>
      <c r="L25" s="128">
        <v>13.17</v>
      </c>
      <c r="M25" s="99">
        <f t="shared" si="3"/>
        <v>26.34</v>
      </c>
      <c r="O25" s="93" t="s">
        <v>128</v>
      </c>
      <c r="P25" s="98">
        <v>2</v>
      </c>
      <c r="Q25" s="98">
        <f t="shared" si="4"/>
        <v>24</v>
      </c>
      <c r="R25" s="128">
        <v>9.58</v>
      </c>
      <c r="S25" s="99">
        <f t="shared" si="5"/>
        <v>19.16</v>
      </c>
    </row>
    <row r="26" spans="1:38" ht="16.5" thickBot="1" x14ac:dyDescent="0.3">
      <c r="G26" s="140">
        <f>SUM(G4:G25)</f>
        <v>38974.240000000013</v>
      </c>
      <c r="I26" s="75"/>
      <c r="J26" s="75"/>
      <c r="K26" s="75"/>
      <c r="L26" s="3"/>
      <c r="M26" s="140">
        <f>SUM(M4:M25)</f>
        <v>411.74999999999994</v>
      </c>
      <c r="O26" s="75"/>
      <c r="P26" s="75"/>
      <c r="Q26" s="75"/>
      <c r="R26" s="3"/>
      <c r="S26" s="140">
        <f>SUM(S4:S25)</f>
        <v>25954.110000000004</v>
      </c>
    </row>
    <row r="27" spans="1:38" ht="15.75" customHeight="1" thickBot="1" x14ac:dyDescent="0.3">
      <c r="A27" s="280" t="s">
        <v>264</v>
      </c>
      <c r="B27" s="281"/>
      <c r="C27" s="281"/>
      <c r="D27" s="281"/>
      <c r="E27" s="281"/>
      <c r="F27" s="282"/>
      <c r="G27" s="141">
        <f>G26*0.1765</f>
        <v>6878.9533600000022</v>
      </c>
      <c r="I27" s="75"/>
      <c r="J27" s="75"/>
      <c r="K27" s="75"/>
      <c r="L27" s="3"/>
      <c r="M27" s="137">
        <f>M26*0.1765</f>
        <v>72.673874999999981</v>
      </c>
      <c r="O27" s="75"/>
      <c r="P27" s="75"/>
      <c r="Q27" s="75"/>
      <c r="R27" s="3"/>
      <c r="S27" s="137">
        <f>S26*0.1765</f>
        <v>4580.9004150000001</v>
      </c>
    </row>
    <row r="28" spans="1:38" ht="15.75" customHeight="1" thickBot="1" x14ac:dyDescent="0.3">
      <c r="A28" s="280" t="s">
        <v>256</v>
      </c>
      <c r="B28" s="281"/>
      <c r="C28" s="281"/>
      <c r="D28" s="281"/>
      <c r="E28" s="281"/>
      <c r="F28" s="282"/>
      <c r="G28" s="134">
        <f>G26+G27</f>
        <v>45853.193360000012</v>
      </c>
      <c r="H28" s="159">
        <f>G28*12</f>
        <v>550238.32032000017</v>
      </c>
      <c r="I28" s="75"/>
      <c r="J28" s="75"/>
      <c r="K28" s="75"/>
      <c r="L28" s="3"/>
      <c r="M28" s="134">
        <f>M26+M27</f>
        <v>484.42387499999995</v>
      </c>
      <c r="N28" s="159">
        <f>M28*12</f>
        <v>5813.0864999999994</v>
      </c>
      <c r="O28" s="75"/>
      <c r="P28" s="75"/>
      <c r="Q28" s="75"/>
      <c r="R28" s="3"/>
      <c r="S28" s="134">
        <f>S26+S27</f>
        <v>30535.010415000004</v>
      </c>
      <c r="T28" s="159">
        <f>S28*12</f>
        <v>366420.12498000008</v>
      </c>
    </row>
    <row r="29" spans="1:38" ht="15.75" customHeight="1" x14ac:dyDescent="0.25">
      <c r="A29" s="132"/>
      <c r="B29" s="132"/>
      <c r="C29" s="132"/>
      <c r="D29" s="132"/>
      <c r="E29" s="132"/>
      <c r="F29" s="132"/>
      <c r="G29" s="139"/>
      <c r="I29" s="75"/>
      <c r="J29" s="75"/>
      <c r="K29" s="75"/>
      <c r="L29" s="3"/>
      <c r="M29" s="139"/>
      <c r="O29" s="75"/>
      <c r="P29" s="75"/>
      <c r="Q29" s="75"/>
      <c r="R29" s="3"/>
      <c r="S29" s="139"/>
    </row>
    <row r="30" spans="1:38" x14ac:dyDescent="0.25">
      <c r="I30" s="75"/>
      <c r="J30" s="75"/>
      <c r="K30" s="75"/>
      <c r="L30" s="3"/>
      <c r="M30" s="3"/>
      <c r="O30" s="75"/>
      <c r="P30" s="75"/>
      <c r="Q30" s="75"/>
      <c r="R30" s="3"/>
      <c r="S30" s="3"/>
    </row>
    <row r="31" spans="1:38" ht="30.75" x14ac:dyDescent="0.25">
      <c r="A31" s="91"/>
      <c r="B31" s="92" t="s">
        <v>136</v>
      </c>
      <c r="C31" s="93" t="s">
        <v>137</v>
      </c>
      <c r="D31" s="94" t="s">
        <v>156</v>
      </c>
      <c r="E31" s="95" t="s">
        <v>194</v>
      </c>
      <c r="F31" s="94" t="s">
        <v>193</v>
      </c>
      <c r="G31" s="94" t="s">
        <v>195</v>
      </c>
      <c r="I31" s="93" t="s">
        <v>137</v>
      </c>
      <c r="J31" s="94" t="s">
        <v>156</v>
      </c>
      <c r="K31" s="95" t="s">
        <v>194</v>
      </c>
      <c r="L31" s="94" t="s">
        <v>193</v>
      </c>
      <c r="M31" s="94" t="s">
        <v>195</v>
      </c>
      <c r="O31" s="93" t="s">
        <v>137</v>
      </c>
      <c r="P31" s="94" t="s">
        <v>156</v>
      </c>
      <c r="Q31" s="95" t="s">
        <v>194</v>
      </c>
      <c r="R31" s="94" t="s">
        <v>193</v>
      </c>
      <c r="S31" s="94" t="s">
        <v>195</v>
      </c>
    </row>
    <row r="32" spans="1:38" ht="30" x14ac:dyDescent="0.25">
      <c r="A32" s="143">
        <v>1</v>
      </c>
      <c r="B32" s="144" t="s">
        <v>189</v>
      </c>
      <c r="C32" s="142">
        <v>20</v>
      </c>
      <c r="D32" s="99">
        <v>17.260000000000002</v>
      </c>
      <c r="E32" s="101">
        <f t="shared" ref="E32:E52" si="6">C32*D32/F32</f>
        <v>14.383333333333335</v>
      </c>
      <c r="F32" s="142">
        <v>24</v>
      </c>
      <c r="G32" s="102">
        <f t="shared" ref="G32:G52" si="7">E32*12</f>
        <v>172.60000000000002</v>
      </c>
      <c r="H32" s="145"/>
      <c r="I32" s="142">
        <v>20</v>
      </c>
      <c r="J32" s="128">
        <v>43.67</v>
      </c>
      <c r="K32" s="101">
        <f t="shared" ref="K32:K52" si="8">I32*J32/L32</f>
        <v>36.391666666666673</v>
      </c>
      <c r="L32" s="142">
        <v>24</v>
      </c>
      <c r="M32" s="102">
        <f t="shared" ref="M32:M52" si="9">K32*12</f>
        <v>436.70000000000005</v>
      </c>
      <c r="N32" s="145"/>
      <c r="O32" s="142">
        <v>20</v>
      </c>
      <c r="P32" s="128">
        <v>32.5</v>
      </c>
      <c r="Q32" s="101">
        <v>27.084</v>
      </c>
      <c r="R32" s="142">
        <v>24</v>
      </c>
      <c r="S32" s="102">
        <f>27.08*12</f>
        <v>324.95999999999998</v>
      </c>
      <c r="T32" s="145"/>
      <c r="U32" s="145"/>
      <c r="V32" s="145"/>
      <c r="W32" s="145"/>
      <c r="X32" s="145"/>
      <c r="Y32" s="145"/>
      <c r="Z32" s="145"/>
      <c r="AA32" s="145"/>
      <c r="AB32" s="145"/>
      <c r="AC32" s="145"/>
      <c r="AD32" s="145"/>
      <c r="AE32" s="145"/>
      <c r="AF32" s="145"/>
      <c r="AG32" s="145"/>
      <c r="AH32" s="145"/>
      <c r="AI32" s="145"/>
      <c r="AJ32" s="145"/>
      <c r="AK32" s="145"/>
      <c r="AL32" s="145"/>
    </row>
    <row r="33" spans="1:19" x14ac:dyDescent="0.25">
      <c r="A33" s="91">
        <v>2</v>
      </c>
      <c r="B33" s="96" t="s">
        <v>140</v>
      </c>
      <c r="C33" s="98">
        <v>5</v>
      </c>
      <c r="D33" s="99">
        <v>24.22</v>
      </c>
      <c r="E33" s="101">
        <f t="shared" si="6"/>
        <v>10.091666666666667</v>
      </c>
      <c r="F33" s="98">
        <v>12</v>
      </c>
      <c r="G33" s="102">
        <f t="shared" si="7"/>
        <v>121.1</v>
      </c>
      <c r="I33" s="98">
        <v>5</v>
      </c>
      <c r="J33" s="128">
        <v>11.87</v>
      </c>
      <c r="K33" s="101">
        <f t="shared" si="8"/>
        <v>4.9458333333333329</v>
      </c>
      <c r="L33" s="98">
        <v>12</v>
      </c>
      <c r="M33" s="102">
        <f t="shared" si="9"/>
        <v>59.349999999999994</v>
      </c>
      <c r="O33" s="142">
        <v>5</v>
      </c>
      <c r="P33" s="128">
        <v>15.41</v>
      </c>
      <c r="Q33" s="101">
        <v>6.4240000000000004</v>
      </c>
      <c r="R33" s="142">
        <v>12</v>
      </c>
      <c r="S33" s="102">
        <f>6.42*12</f>
        <v>77.039999999999992</v>
      </c>
    </row>
    <row r="34" spans="1:19" x14ac:dyDescent="0.25">
      <c r="A34" s="91">
        <v>3</v>
      </c>
      <c r="B34" s="96" t="s">
        <v>145</v>
      </c>
      <c r="C34" s="98">
        <v>7</v>
      </c>
      <c r="D34" s="99">
        <v>129.53</v>
      </c>
      <c r="E34" s="101">
        <f t="shared" si="6"/>
        <v>37.779583333333335</v>
      </c>
      <c r="F34" s="98">
        <v>24</v>
      </c>
      <c r="G34" s="102">
        <f t="shared" si="7"/>
        <v>453.35500000000002</v>
      </c>
      <c r="I34" s="98">
        <v>7</v>
      </c>
      <c r="J34" s="128">
        <v>36.26</v>
      </c>
      <c r="K34" s="101">
        <f t="shared" si="8"/>
        <v>10.575833333333334</v>
      </c>
      <c r="L34" s="98">
        <v>24</v>
      </c>
      <c r="M34" s="102">
        <f t="shared" si="9"/>
        <v>126.91</v>
      </c>
      <c r="O34" s="142">
        <v>7</v>
      </c>
      <c r="P34" s="128">
        <v>31.13</v>
      </c>
      <c r="Q34" s="101">
        <v>9.0820000000000007</v>
      </c>
      <c r="R34" s="142">
        <v>24</v>
      </c>
      <c r="S34" s="102">
        <f>9.08*12</f>
        <v>108.96000000000001</v>
      </c>
    </row>
    <row r="35" spans="1:19" x14ac:dyDescent="0.25">
      <c r="A35" s="91">
        <v>4</v>
      </c>
      <c r="B35" s="96" t="s">
        <v>144</v>
      </c>
      <c r="C35" s="98">
        <v>12</v>
      </c>
      <c r="D35" s="99">
        <v>83.9</v>
      </c>
      <c r="E35" s="101">
        <f t="shared" si="6"/>
        <v>41.95</v>
      </c>
      <c r="F35" s="98">
        <v>24</v>
      </c>
      <c r="G35" s="102">
        <f t="shared" si="7"/>
        <v>503.40000000000003</v>
      </c>
      <c r="I35" s="98">
        <v>12</v>
      </c>
      <c r="J35" s="99">
        <v>0</v>
      </c>
      <c r="K35" s="101">
        <f t="shared" si="8"/>
        <v>0</v>
      </c>
      <c r="L35" s="98">
        <v>24</v>
      </c>
      <c r="M35" s="102">
        <f t="shared" si="9"/>
        <v>0</v>
      </c>
      <c r="O35" s="142">
        <v>12</v>
      </c>
      <c r="P35" s="99">
        <v>31.13</v>
      </c>
      <c r="Q35" s="101">
        <v>15.573</v>
      </c>
      <c r="R35" s="142">
        <v>24</v>
      </c>
      <c r="S35" s="102">
        <f>15.57*12</f>
        <v>186.84</v>
      </c>
    </row>
    <row r="36" spans="1:19" x14ac:dyDescent="0.25">
      <c r="A36" s="91">
        <v>5</v>
      </c>
      <c r="B36" s="96" t="s">
        <v>138</v>
      </c>
      <c r="C36" s="98">
        <v>22</v>
      </c>
      <c r="D36" s="99">
        <v>1090</v>
      </c>
      <c r="E36" s="101">
        <f t="shared" si="6"/>
        <v>666.11111111111109</v>
      </c>
      <c r="F36" s="98">
        <v>36</v>
      </c>
      <c r="G36" s="102">
        <f t="shared" si="7"/>
        <v>7993.333333333333</v>
      </c>
      <c r="I36" s="98">
        <v>22</v>
      </c>
      <c r="J36" s="99">
        <v>0</v>
      </c>
      <c r="K36" s="101">
        <f t="shared" si="8"/>
        <v>0</v>
      </c>
      <c r="L36" s="98">
        <v>36</v>
      </c>
      <c r="M36" s="102">
        <f t="shared" si="9"/>
        <v>0</v>
      </c>
      <c r="O36" s="142">
        <v>22</v>
      </c>
      <c r="P36" s="99">
        <v>749.94</v>
      </c>
      <c r="Q36" s="101">
        <v>458.30200000000002</v>
      </c>
      <c r="R36" s="142">
        <v>36</v>
      </c>
      <c r="S36" s="102">
        <f>458.3*12</f>
        <v>5499.6</v>
      </c>
    </row>
    <row r="37" spans="1:19" x14ac:dyDescent="0.25">
      <c r="A37" s="91">
        <v>6</v>
      </c>
      <c r="B37" s="96" t="s">
        <v>190</v>
      </c>
      <c r="C37" s="98">
        <v>15</v>
      </c>
      <c r="D37" s="99">
        <v>18.260000000000002</v>
      </c>
      <c r="E37" s="101">
        <f t="shared" si="6"/>
        <v>11.412500000000001</v>
      </c>
      <c r="F37" s="98">
        <v>24</v>
      </c>
      <c r="G37" s="102">
        <f t="shared" si="7"/>
        <v>136.95000000000002</v>
      </c>
      <c r="I37" s="98">
        <v>15</v>
      </c>
      <c r="J37" s="128">
        <v>54.09</v>
      </c>
      <c r="K37" s="101">
        <f t="shared" si="8"/>
        <v>33.806249999999999</v>
      </c>
      <c r="L37" s="98">
        <v>24</v>
      </c>
      <c r="M37" s="102">
        <f t="shared" si="9"/>
        <v>405.67499999999995</v>
      </c>
      <c r="O37" s="142">
        <v>15</v>
      </c>
      <c r="P37" s="128">
        <v>34.35</v>
      </c>
      <c r="Q37" s="101">
        <v>21.47</v>
      </c>
      <c r="R37" s="142">
        <v>24</v>
      </c>
      <c r="S37" s="102">
        <f>21.47*12</f>
        <v>257.64</v>
      </c>
    </row>
    <row r="38" spans="1:19" ht="30.75" x14ac:dyDescent="0.25">
      <c r="A38" s="91">
        <v>7</v>
      </c>
      <c r="B38" s="96" t="s">
        <v>139</v>
      </c>
      <c r="C38" s="98">
        <v>4</v>
      </c>
      <c r="D38" s="99">
        <v>1150.3</v>
      </c>
      <c r="E38" s="101">
        <f t="shared" si="6"/>
        <v>95.858333333333334</v>
      </c>
      <c r="F38" s="98">
        <v>48</v>
      </c>
      <c r="G38" s="102">
        <f t="shared" si="7"/>
        <v>1150.3</v>
      </c>
      <c r="I38" s="98">
        <v>4</v>
      </c>
      <c r="J38" s="128">
        <v>2249.67</v>
      </c>
      <c r="K38" s="101">
        <f t="shared" si="8"/>
        <v>187.4725</v>
      </c>
      <c r="L38" s="98">
        <v>48</v>
      </c>
      <c r="M38" s="102">
        <f t="shared" si="9"/>
        <v>2249.67</v>
      </c>
      <c r="O38" s="142">
        <v>4</v>
      </c>
      <c r="P38" s="128">
        <v>819.73</v>
      </c>
      <c r="Q38" s="101">
        <v>68.31</v>
      </c>
      <c r="R38" s="142">
        <v>48</v>
      </c>
      <c r="S38" s="102">
        <f>68.31*12</f>
        <v>819.72</v>
      </c>
    </row>
    <row r="39" spans="1:19" x14ac:dyDescent="0.25">
      <c r="A39" s="91">
        <v>8</v>
      </c>
      <c r="B39" s="96" t="s">
        <v>153</v>
      </c>
      <c r="C39" s="98">
        <v>2</v>
      </c>
      <c r="D39" s="99">
        <v>1707.34</v>
      </c>
      <c r="E39" s="101">
        <f t="shared" si="6"/>
        <v>71.139166666666668</v>
      </c>
      <c r="F39" s="98">
        <v>48</v>
      </c>
      <c r="G39" s="102">
        <f t="shared" si="7"/>
        <v>853.67000000000007</v>
      </c>
      <c r="I39" s="98">
        <v>2</v>
      </c>
      <c r="J39" s="128">
        <v>1054.54</v>
      </c>
      <c r="K39" s="101">
        <f t="shared" si="8"/>
        <v>43.939166666666665</v>
      </c>
      <c r="L39" s="98">
        <v>48</v>
      </c>
      <c r="M39" s="102">
        <f t="shared" si="9"/>
        <v>527.27</v>
      </c>
      <c r="O39" s="142">
        <v>2</v>
      </c>
      <c r="P39" s="128">
        <v>1540</v>
      </c>
      <c r="Q39" s="101">
        <v>64.17</v>
      </c>
      <c r="R39" s="142">
        <v>48</v>
      </c>
      <c r="S39" s="102">
        <f>64.17*12</f>
        <v>770.04</v>
      </c>
    </row>
    <row r="40" spans="1:19" x14ac:dyDescent="0.25">
      <c r="A40" s="91">
        <v>9</v>
      </c>
      <c r="B40" s="96" t="s">
        <v>148</v>
      </c>
      <c r="C40" s="98">
        <v>250</v>
      </c>
      <c r="D40" s="99">
        <v>1.92</v>
      </c>
      <c r="E40" s="101">
        <f t="shared" si="6"/>
        <v>20</v>
      </c>
      <c r="F40" s="98">
        <v>24</v>
      </c>
      <c r="G40" s="102">
        <f t="shared" si="7"/>
        <v>240</v>
      </c>
      <c r="I40" s="98">
        <v>250</v>
      </c>
      <c r="J40" s="128">
        <v>1.31</v>
      </c>
      <c r="K40" s="101">
        <f t="shared" si="8"/>
        <v>13.645833333333334</v>
      </c>
      <c r="L40" s="98">
        <v>24</v>
      </c>
      <c r="M40" s="102">
        <f t="shared" si="9"/>
        <v>163.75</v>
      </c>
      <c r="O40" s="142">
        <v>250</v>
      </c>
      <c r="P40" s="128">
        <v>1.06</v>
      </c>
      <c r="Q40" s="101">
        <v>11.04</v>
      </c>
      <c r="R40" s="142">
        <v>24</v>
      </c>
      <c r="S40" s="102">
        <f>11.04*12</f>
        <v>132.47999999999999</v>
      </c>
    </row>
    <row r="41" spans="1:19" x14ac:dyDescent="0.25">
      <c r="A41" s="91">
        <v>10</v>
      </c>
      <c r="B41" s="96" t="s">
        <v>147</v>
      </c>
      <c r="C41" s="98">
        <v>120</v>
      </c>
      <c r="D41" s="99">
        <v>2.78</v>
      </c>
      <c r="E41" s="101">
        <f t="shared" si="6"/>
        <v>13.899999999999999</v>
      </c>
      <c r="F41" s="98">
        <v>24</v>
      </c>
      <c r="G41" s="102">
        <f t="shared" si="7"/>
        <v>166.79999999999998</v>
      </c>
      <c r="I41" s="98">
        <v>120</v>
      </c>
      <c r="J41" s="128">
        <v>1.35</v>
      </c>
      <c r="K41" s="101">
        <f t="shared" si="8"/>
        <v>6.75</v>
      </c>
      <c r="L41" s="98">
        <v>24</v>
      </c>
      <c r="M41" s="102">
        <f t="shared" si="9"/>
        <v>81</v>
      </c>
      <c r="O41" s="142">
        <v>120</v>
      </c>
      <c r="P41" s="128">
        <v>0.71</v>
      </c>
      <c r="Q41" s="101">
        <v>3.55</v>
      </c>
      <c r="R41" s="142">
        <v>24</v>
      </c>
      <c r="S41" s="102">
        <f t="shared" ref="S41:S50" si="10">Q41*12</f>
        <v>42.599999999999994</v>
      </c>
    </row>
    <row r="42" spans="1:19" x14ac:dyDescent="0.25">
      <c r="A42" s="91">
        <v>11</v>
      </c>
      <c r="B42" s="96" t="s">
        <v>150</v>
      </c>
      <c r="C42" s="98">
        <v>300</v>
      </c>
      <c r="D42" s="99">
        <v>8.84</v>
      </c>
      <c r="E42" s="101">
        <f t="shared" si="6"/>
        <v>221</v>
      </c>
      <c r="F42" s="98">
        <v>12</v>
      </c>
      <c r="G42" s="102">
        <f t="shared" si="7"/>
        <v>2652</v>
      </c>
      <c r="I42" s="98">
        <v>300</v>
      </c>
      <c r="J42" s="128">
        <v>5.36</v>
      </c>
      <c r="K42" s="101">
        <f t="shared" si="8"/>
        <v>134</v>
      </c>
      <c r="L42" s="98">
        <v>12</v>
      </c>
      <c r="M42" s="102">
        <f t="shared" si="9"/>
        <v>1608</v>
      </c>
      <c r="O42" s="142">
        <v>300</v>
      </c>
      <c r="P42" s="128">
        <v>5.08</v>
      </c>
      <c r="Q42" s="101">
        <v>127</v>
      </c>
      <c r="R42" s="142">
        <v>12</v>
      </c>
      <c r="S42" s="102">
        <f t="shared" si="10"/>
        <v>1524</v>
      </c>
    </row>
    <row r="43" spans="1:19" ht="30.75" x14ac:dyDescent="0.25">
      <c r="A43" s="91">
        <v>12</v>
      </c>
      <c r="B43" s="96" t="s">
        <v>151</v>
      </c>
      <c r="C43" s="98">
        <v>2</v>
      </c>
      <c r="D43" s="99">
        <v>139.49</v>
      </c>
      <c r="E43" s="101">
        <f t="shared" si="6"/>
        <v>11.624166666666667</v>
      </c>
      <c r="F43" s="98">
        <v>24</v>
      </c>
      <c r="G43" s="102">
        <f t="shared" si="7"/>
        <v>139.49</v>
      </c>
      <c r="I43" s="98">
        <v>2</v>
      </c>
      <c r="J43" s="128">
        <v>100.38</v>
      </c>
      <c r="K43" s="101">
        <f t="shared" si="8"/>
        <v>8.3650000000000002</v>
      </c>
      <c r="L43" s="98">
        <v>24</v>
      </c>
      <c r="M43" s="102">
        <f t="shared" si="9"/>
        <v>100.38</v>
      </c>
      <c r="O43" s="142">
        <v>2</v>
      </c>
      <c r="P43" s="128">
        <v>147.13999999999999</v>
      </c>
      <c r="Q43" s="101">
        <v>12.26</v>
      </c>
      <c r="R43" s="142">
        <v>24</v>
      </c>
      <c r="S43" s="102">
        <f>12.26*12</f>
        <v>147.12</v>
      </c>
    </row>
    <row r="44" spans="1:19" x14ac:dyDescent="0.25">
      <c r="A44" s="91">
        <v>13</v>
      </c>
      <c r="B44" s="96" t="s">
        <v>152</v>
      </c>
      <c r="C44" s="98">
        <v>15</v>
      </c>
      <c r="D44" s="99">
        <v>61.39</v>
      </c>
      <c r="E44" s="101">
        <f t="shared" si="6"/>
        <v>76.737499999999997</v>
      </c>
      <c r="F44" s="98">
        <v>12</v>
      </c>
      <c r="G44" s="102">
        <f t="shared" si="7"/>
        <v>920.84999999999991</v>
      </c>
      <c r="I44" s="98">
        <v>15</v>
      </c>
      <c r="J44" s="128">
        <v>31.29</v>
      </c>
      <c r="K44" s="101">
        <f t="shared" si="8"/>
        <v>39.112499999999997</v>
      </c>
      <c r="L44" s="98">
        <v>12</v>
      </c>
      <c r="M44" s="102">
        <f t="shared" si="9"/>
        <v>469.34999999999997</v>
      </c>
      <c r="O44" s="142">
        <v>15</v>
      </c>
      <c r="P44" s="128">
        <v>53.58</v>
      </c>
      <c r="Q44" s="101">
        <v>66.98</v>
      </c>
      <c r="R44" s="142">
        <v>12</v>
      </c>
      <c r="S44" s="102">
        <f>66.98*12</f>
        <v>803.76</v>
      </c>
    </row>
    <row r="45" spans="1:19" x14ac:dyDescent="0.25">
      <c r="A45" s="91">
        <v>14</v>
      </c>
      <c r="B45" s="96" t="s">
        <v>143</v>
      </c>
      <c r="C45" s="98">
        <v>15</v>
      </c>
      <c r="D45" s="99">
        <v>95.27</v>
      </c>
      <c r="E45" s="101">
        <f t="shared" si="6"/>
        <v>59.543749999999996</v>
      </c>
      <c r="F45" s="98">
        <v>24</v>
      </c>
      <c r="G45" s="102">
        <f t="shared" si="7"/>
        <v>714.52499999999998</v>
      </c>
      <c r="H45" s="76"/>
      <c r="I45" s="98">
        <v>15</v>
      </c>
      <c r="J45" s="99">
        <v>0</v>
      </c>
      <c r="K45" s="101">
        <f t="shared" si="8"/>
        <v>0</v>
      </c>
      <c r="L45" s="98">
        <v>24</v>
      </c>
      <c r="M45" s="102">
        <f t="shared" si="9"/>
        <v>0</v>
      </c>
      <c r="O45" s="142">
        <v>15</v>
      </c>
      <c r="P45" s="99">
        <v>66.290000000000006</v>
      </c>
      <c r="Q45" s="101">
        <v>41.43</v>
      </c>
      <c r="R45" s="142">
        <v>24</v>
      </c>
      <c r="S45" s="102">
        <f>41.43*12</f>
        <v>497.15999999999997</v>
      </c>
    </row>
    <row r="46" spans="1:19" ht="60.75" x14ac:dyDescent="0.25">
      <c r="A46" s="91">
        <v>15</v>
      </c>
      <c r="B46" s="96" t="s">
        <v>155</v>
      </c>
      <c r="C46" s="98">
        <v>24</v>
      </c>
      <c r="D46" s="99">
        <v>50.88</v>
      </c>
      <c r="E46" s="101">
        <f t="shared" si="6"/>
        <v>101.76</v>
      </c>
      <c r="F46" s="98">
        <v>12</v>
      </c>
      <c r="G46" s="102">
        <f t="shared" si="7"/>
        <v>1221.1200000000001</v>
      </c>
      <c r="I46" s="98">
        <v>24</v>
      </c>
      <c r="J46" s="99">
        <v>0</v>
      </c>
      <c r="K46" s="101">
        <f t="shared" si="8"/>
        <v>0</v>
      </c>
      <c r="L46" s="98">
        <v>12</v>
      </c>
      <c r="M46" s="102">
        <f t="shared" si="9"/>
        <v>0</v>
      </c>
      <c r="O46" s="142">
        <v>24</v>
      </c>
      <c r="P46" s="99">
        <v>38.92</v>
      </c>
      <c r="Q46" s="101">
        <v>77.84</v>
      </c>
      <c r="R46" s="142">
        <v>12</v>
      </c>
      <c r="S46" s="102">
        <f t="shared" si="10"/>
        <v>934.08</v>
      </c>
    </row>
    <row r="47" spans="1:19" x14ac:dyDescent="0.25">
      <c r="A47" s="91">
        <v>16</v>
      </c>
      <c r="B47" s="96" t="s">
        <v>191</v>
      </c>
      <c r="C47" s="98">
        <v>2</v>
      </c>
      <c r="D47" s="99">
        <v>19.260000000000002</v>
      </c>
      <c r="E47" s="101">
        <f t="shared" si="6"/>
        <v>3.2100000000000004</v>
      </c>
      <c r="F47" s="98">
        <v>12</v>
      </c>
      <c r="G47" s="102">
        <f t="shared" si="7"/>
        <v>38.520000000000003</v>
      </c>
      <c r="I47" s="98">
        <v>2</v>
      </c>
      <c r="J47" s="128">
        <v>6.66</v>
      </c>
      <c r="K47" s="101">
        <f t="shared" si="8"/>
        <v>1.1100000000000001</v>
      </c>
      <c r="L47" s="98">
        <v>12</v>
      </c>
      <c r="M47" s="102">
        <f t="shared" si="9"/>
        <v>13.32</v>
      </c>
      <c r="O47" s="142">
        <v>2</v>
      </c>
      <c r="P47" s="128">
        <v>5.87</v>
      </c>
      <c r="Q47" s="101">
        <v>0.98</v>
      </c>
      <c r="R47" s="142">
        <v>12</v>
      </c>
      <c r="S47" s="102">
        <f>0.98*12</f>
        <v>11.76</v>
      </c>
    </row>
    <row r="48" spans="1:19" ht="30.75" x14ac:dyDescent="0.25">
      <c r="A48" s="91">
        <v>17</v>
      </c>
      <c r="B48" s="96" t="s">
        <v>146</v>
      </c>
      <c r="C48" s="98">
        <v>200</v>
      </c>
      <c r="D48" s="99">
        <v>5.18</v>
      </c>
      <c r="E48" s="101">
        <f t="shared" si="6"/>
        <v>43.166666666666664</v>
      </c>
      <c r="F48" s="98">
        <v>24</v>
      </c>
      <c r="G48" s="102">
        <f t="shared" si="7"/>
        <v>518</v>
      </c>
      <c r="I48" s="98">
        <v>200</v>
      </c>
      <c r="J48" s="99">
        <v>0</v>
      </c>
      <c r="K48" s="101">
        <f t="shared" si="8"/>
        <v>0</v>
      </c>
      <c r="L48" s="98">
        <v>24</v>
      </c>
      <c r="M48" s="102">
        <f t="shared" si="9"/>
        <v>0</v>
      </c>
      <c r="O48" s="142">
        <v>200</v>
      </c>
      <c r="P48" s="99">
        <v>7.44</v>
      </c>
      <c r="Q48" s="101">
        <v>62</v>
      </c>
      <c r="R48" s="142">
        <v>24</v>
      </c>
      <c r="S48" s="102">
        <f t="shared" si="10"/>
        <v>744</v>
      </c>
    </row>
    <row r="49" spans="1:19" x14ac:dyDescent="0.25">
      <c r="A49" s="91">
        <v>18</v>
      </c>
      <c r="B49" s="96" t="s">
        <v>141</v>
      </c>
      <c r="C49" s="98">
        <v>2</v>
      </c>
      <c r="D49" s="99">
        <v>9.08</v>
      </c>
      <c r="E49" s="101">
        <f t="shared" si="6"/>
        <v>1.5133333333333334</v>
      </c>
      <c r="F49" s="98">
        <v>12</v>
      </c>
      <c r="G49" s="102">
        <f t="shared" si="7"/>
        <v>18.16</v>
      </c>
      <c r="I49" s="98">
        <v>2</v>
      </c>
      <c r="J49" s="128">
        <v>8.35</v>
      </c>
      <c r="K49" s="101">
        <f t="shared" si="8"/>
        <v>1.3916666666666666</v>
      </c>
      <c r="L49" s="98">
        <v>12</v>
      </c>
      <c r="M49" s="102">
        <f t="shared" si="9"/>
        <v>16.7</v>
      </c>
      <c r="O49" s="142">
        <v>2</v>
      </c>
      <c r="P49" s="128">
        <v>16.649999999999999</v>
      </c>
      <c r="Q49" s="101">
        <v>2.76</v>
      </c>
      <c r="R49" s="142">
        <v>12</v>
      </c>
      <c r="S49" s="102">
        <f>2.78*12</f>
        <v>33.36</v>
      </c>
    </row>
    <row r="50" spans="1:19" ht="45.75" x14ac:dyDescent="0.25">
      <c r="A50" s="91">
        <v>19</v>
      </c>
      <c r="B50" s="96" t="s">
        <v>154</v>
      </c>
      <c r="C50" s="98">
        <v>24</v>
      </c>
      <c r="D50" s="99">
        <v>88.45</v>
      </c>
      <c r="E50" s="101">
        <f t="shared" si="6"/>
        <v>176.9</v>
      </c>
      <c r="F50" s="98">
        <v>12</v>
      </c>
      <c r="G50" s="102">
        <f t="shared" si="7"/>
        <v>2122.8000000000002</v>
      </c>
      <c r="I50" s="98">
        <v>24</v>
      </c>
      <c r="J50" s="128">
        <v>63.63</v>
      </c>
      <c r="K50" s="101">
        <f t="shared" si="8"/>
        <v>127.26</v>
      </c>
      <c r="L50" s="98">
        <v>12</v>
      </c>
      <c r="M50" s="102">
        <f t="shared" si="9"/>
        <v>1527.1200000000001</v>
      </c>
      <c r="O50" s="142">
        <v>24</v>
      </c>
      <c r="P50" s="128">
        <v>57.26</v>
      </c>
      <c r="Q50" s="101">
        <v>114.52</v>
      </c>
      <c r="R50" s="142">
        <v>12</v>
      </c>
      <c r="S50" s="102">
        <f t="shared" si="10"/>
        <v>1374.24</v>
      </c>
    </row>
    <row r="51" spans="1:19" x14ac:dyDescent="0.25">
      <c r="A51" s="91">
        <v>20</v>
      </c>
      <c r="B51" s="96" t="s">
        <v>142</v>
      </c>
      <c r="C51" s="98">
        <v>2</v>
      </c>
      <c r="D51" s="99">
        <v>16.260000000000002</v>
      </c>
      <c r="E51" s="101">
        <f t="shared" si="6"/>
        <v>2.7100000000000004</v>
      </c>
      <c r="F51" s="98">
        <v>12</v>
      </c>
      <c r="G51" s="102">
        <f t="shared" si="7"/>
        <v>32.520000000000003</v>
      </c>
      <c r="I51" s="98">
        <v>2</v>
      </c>
      <c r="J51" s="128">
        <v>6.78</v>
      </c>
      <c r="K51" s="101">
        <f t="shared" si="8"/>
        <v>1.1300000000000001</v>
      </c>
      <c r="L51" s="98">
        <v>12</v>
      </c>
      <c r="M51" s="102">
        <f t="shared" si="9"/>
        <v>13.560000000000002</v>
      </c>
      <c r="O51" s="142">
        <v>2</v>
      </c>
      <c r="P51" s="128">
        <v>13.36</v>
      </c>
      <c r="Q51" s="101">
        <v>2.23</v>
      </c>
      <c r="R51" s="142">
        <v>12</v>
      </c>
      <c r="S51" s="102">
        <f>2.23*12</f>
        <v>26.759999999999998</v>
      </c>
    </row>
    <row r="52" spans="1:19" ht="31.5" thickBot="1" x14ac:dyDescent="0.3">
      <c r="A52" s="91">
        <v>21</v>
      </c>
      <c r="B52" s="96" t="s">
        <v>149</v>
      </c>
      <c r="C52" s="98">
        <v>170</v>
      </c>
      <c r="D52" s="99">
        <v>21.34</v>
      </c>
      <c r="E52" s="135">
        <f t="shared" si="6"/>
        <v>302.31666666666666</v>
      </c>
      <c r="F52" s="98">
        <v>12</v>
      </c>
      <c r="G52" s="136">
        <f t="shared" si="7"/>
        <v>3627.8</v>
      </c>
      <c r="I52" s="98">
        <v>170</v>
      </c>
      <c r="J52" s="128">
        <v>15.63</v>
      </c>
      <c r="K52" s="101">
        <f t="shared" si="8"/>
        <v>221.42499999999998</v>
      </c>
      <c r="L52" s="98">
        <v>12</v>
      </c>
      <c r="M52" s="102">
        <f t="shared" si="9"/>
        <v>2657.1</v>
      </c>
      <c r="O52" s="142">
        <v>170</v>
      </c>
      <c r="P52" s="128">
        <v>8.36</v>
      </c>
      <c r="Q52" s="101">
        <v>118.43</v>
      </c>
      <c r="R52" s="142">
        <v>12</v>
      </c>
      <c r="S52" s="102">
        <f>118.43*12</f>
        <v>1421.16</v>
      </c>
    </row>
    <row r="53" spans="1:19" ht="16.5" thickBot="1" x14ac:dyDescent="0.3">
      <c r="E53" s="137">
        <f>SUM(E32:E52)</f>
        <v>1983.107777777778</v>
      </c>
      <c r="G53" s="138">
        <f>SUM(G32:G52)</f>
        <v>23797.293333333331</v>
      </c>
      <c r="I53" s="75"/>
      <c r="J53" s="75"/>
      <c r="K53" s="137">
        <f>SUM(K32:K52)</f>
        <v>871.32124999999996</v>
      </c>
      <c r="L53" s="3"/>
      <c r="M53" s="138">
        <f>SUM(M32:M52)</f>
        <v>10455.855000000001</v>
      </c>
      <c r="O53" s="75"/>
      <c r="P53" s="75"/>
      <c r="Q53" s="137">
        <f>SUM(Q32:Q52)</f>
        <v>1311.4349999999999</v>
      </c>
      <c r="R53" s="3"/>
      <c r="S53" s="138">
        <f>SUM(S32:S52)</f>
        <v>15737.280000000002</v>
      </c>
    </row>
    <row r="54" spans="1:19" ht="15.75" customHeight="1" thickBot="1" x14ac:dyDescent="0.3">
      <c r="A54" s="286" t="s">
        <v>264</v>
      </c>
      <c r="B54" s="286"/>
      <c r="C54" s="286"/>
      <c r="D54" s="286"/>
      <c r="E54" s="137">
        <f>E53*0.1365</f>
        <v>270.69421166666672</v>
      </c>
      <c r="G54" s="137">
        <f>G53*0.1765</f>
        <v>4200.2222733333329</v>
      </c>
      <c r="I54" s="75"/>
      <c r="J54" s="75"/>
      <c r="K54" s="137">
        <f>K53*0.1765</f>
        <v>153.78820062499997</v>
      </c>
      <c r="L54" s="3"/>
      <c r="M54" s="137">
        <f>M53*0.1765</f>
        <v>1845.4584075000002</v>
      </c>
      <c r="O54" s="75"/>
      <c r="P54" s="75"/>
      <c r="Q54" s="137">
        <f>Q53*0.1765</f>
        <v>231.46827749999997</v>
      </c>
      <c r="R54" s="3"/>
      <c r="S54" s="137">
        <f>S53*0.1765</f>
        <v>2777.6299200000003</v>
      </c>
    </row>
    <row r="55" spans="1:19" ht="16.5" thickBot="1" x14ac:dyDescent="0.3">
      <c r="A55" s="278" t="s">
        <v>255</v>
      </c>
      <c r="B55" s="279"/>
      <c r="C55" s="279"/>
      <c r="D55" s="279"/>
      <c r="E55" s="134">
        <f>E53+E54</f>
        <v>2253.8019894444446</v>
      </c>
      <c r="G55" s="134">
        <f>G53+G54</f>
        <v>27997.515606666664</v>
      </c>
      <c r="K55" s="134">
        <f>K53+K54</f>
        <v>1025.1094506249999</v>
      </c>
      <c r="M55" s="134">
        <f>M53+M54</f>
        <v>12301.313407500002</v>
      </c>
      <c r="Q55" s="134">
        <f>Q53+Q54</f>
        <v>1542.9032774999998</v>
      </c>
      <c r="S55" s="134">
        <f>S53+S54</f>
        <v>18514.909920000002</v>
      </c>
    </row>
  </sheetData>
  <sortState xmlns:xlrd2="http://schemas.microsoft.com/office/spreadsheetml/2017/richdata2" ref="A4:M25">
    <sortCondition ref="A4:A25"/>
  </sortState>
  <mergeCells count="6">
    <mergeCell ref="A55:D55"/>
    <mergeCell ref="A28:F28"/>
    <mergeCell ref="O2:S2"/>
    <mergeCell ref="I2:M2"/>
    <mergeCell ref="A54:D54"/>
    <mergeCell ref="A27:F27"/>
  </mergeCells>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bb5e887-4a36-475b-8c2b-9f4b717434c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29606D6A9F1F34ABC0BB0E30CA38BC3" ma:contentTypeVersion="15" ma:contentTypeDescription="Crie um novo documento." ma:contentTypeScope="" ma:versionID="22a44d3cd114a783d40d7ef37d582061">
  <xsd:schema xmlns:xsd="http://www.w3.org/2001/XMLSchema" xmlns:xs="http://www.w3.org/2001/XMLSchema" xmlns:p="http://schemas.microsoft.com/office/2006/metadata/properties" xmlns:ns3="24930026-f88e-4eb1-a84b-6c6689915a21" xmlns:ns4="8bb5e887-4a36-475b-8c2b-9f4b717434ca" targetNamespace="http://schemas.microsoft.com/office/2006/metadata/properties" ma:root="true" ma:fieldsID="8861c4f3994e915dc0d990e0dc177aca" ns3:_="" ns4:_="">
    <xsd:import namespace="24930026-f88e-4eb1-a84b-6c6689915a21"/>
    <xsd:import namespace="8bb5e887-4a36-475b-8c2b-9f4b717434ca"/>
    <xsd:element name="properties">
      <xsd:complexType>
        <xsd:sequence>
          <xsd:element name="documentManagement">
            <xsd:complexType>
              <xsd:all>
                <xsd:element ref="ns3:SharedWithUsers" minOccurs="0"/>
                <xsd:element ref="ns3:SharedWithDetails" minOccurs="0"/>
                <xsd:element ref="ns3:SharingHintHash" minOccurs="0"/>
                <xsd:element ref="ns4:_activity" minOccurs="0"/>
                <xsd:element ref="ns4:MediaServiceMetadata" minOccurs="0"/>
                <xsd:element ref="ns4:MediaServiceFastMetadata" minOccurs="0"/>
                <xsd:element ref="ns4:MediaServiceObjectDetectorVersions" minOccurs="0"/>
                <xsd:element ref="ns4:MediaServiceAutoTags" minOccurs="0"/>
                <xsd:element ref="ns4:MediaServiceOCR" minOccurs="0"/>
                <xsd:element ref="ns4:MediaServiceGenerationTime" minOccurs="0"/>
                <xsd:element ref="ns4:MediaServiceEventHashCode" minOccurs="0"/>
                <xsd:element ref="ns4:MediaLengthInSeconds" minOccurs="0"/>
                <xsd:element ref="ns4:MediaServiceDateTake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930026-f88e-4eb1-a84b-6c6689915a21"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bb5e887-4a36-475b-8c2b-9f4b717434ca" elementFormDefault="qualified">
    <xsd:import namespace="http://schemas.microsoft.com/office/2006/documentManagement/types"/>
    <xsd:import namespace="http://schemas.microsoft.com/office/infopath/2007/PartnerControls"/>
    <xsd:element name="_activity" ma:index="11"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A9094B-48B1-4A13-AA4B-223F16307106}">
  <ds:schemaRefs>
    <ds:schemaRef ds:uri="http://www.w3.org/XML/1998/namespace"/>
    <ds:schemaRef ds:uri="http://schemas.microsoft.com/office/infopath/2007/PartnerControls"/>
    <ds:schemaRef ds:uri="http://purl.org/dc/dcmitype/"/>
    <ds:schemaRef ds:uri="http://purl.org/dc/terms/"/>
    <ds:schemaRef ds:uri="8bb5e887-4a36-475b-8c2b-9f4b717434ca"/>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4930026-f88e-4eb1-a84b-6c6689915a21"/>
  </ds:schemaRefs>
</ds:datastoreItem>
</file>

<file path=customXml/itemProps2.xml><?xml version="1.0" encoding="utf-8"?>
<ds:datastoreItem xmlns:ds="http://schemas.openxmlformats.org/officeDocument/2006/customXml" ds:itemID="{9672FF57-E312-43C4-8C37-B1E06F0A243B}">
  <ds:schemaRefs>
    <ds:schemaRef ds:uri="http://schemas.microsoft.com/sharepoint/v3/contenttype/forms"/>
  </ds:schemaRefs>
</ds:datastoreItem>
</file>

<file path=customXml/itemProps3.xml><?xml version="1.0" encoding="utf-8"?>
<ds:datastoreItem xmlns:ds="http://schemas.openxmlformats.org/officeDocument/2006/customXml" ds:itemID="{A2FBF59C-70B9-462E-BD92-D0491B6077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930026-f88e-4eb1-a84b-6c6689915a21"/>
    <ds:schemaRef ds:uri="8bb5e887-4a36-475b-8c2b-9f4b717434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Geral</vt:lpstr>
      <vt:lpstr>Mão de obra</vt:lpstr>
      <vt:lpstr>Uniforme</vt:lpstr>
      <vt:lpstr>Uniformes - Levantamento</vt:lpstr>
      <vt:lpstr>Materiais e utensílios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Patrick</dc:creator>
  <cp:lastModifiedBy>Edmilson Souza Anastacio</cp:lastModifiedBy>
  <cp:lastPrinted>2023-03-03T19:43:07Z</cp:lastPrinted>
  <dcterms:created xsi:type="dcterms:W3CDTF">2010-12-08T17:56:29Z</dcterms:created>
  <dcterms:modified xsi:type="dcterms:W3CDTF">2024-11-28T12:44:12Z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0x010100029606D6A9F1F34ABC0BB0E30CA38BC3</vt:lpwstr>
  </property>
</Properties>
</file>