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568955F2-EE6B-4253-A210-590DAD3BC9DB}" xr6:coauthVersionLast="47" xr6:coauthVersionMax="47" xr10:uidLastSave="{00000000-0000-0000-0000-000000000000}"/>
  <bookViews>
    <workbookView xWindow="-120" yWindow="-120" windowWidth="29040" windowHeight="15720" tabRatio="896" activeTab="10" xr2:uid="{00000000-000D-0000-FFFF-FFFF00000000}"/>
  </bookViews>
  <sheets>
    <sheet name="Uniformes" sheetId="104" r:id="rId1"/>
    <sheet name="Equipamento" sheetId="108" r:id="rId2"/>
    <sheet name="Material de apoio" sheetId="109" r:id="rId3"/>
    <sheet name="Seguro de Vida" sheetId="110" r:id="rId4"/>
    <sheet name="Resumo" sheetId="111" r:id="rId5"/>
    <sheet name="CT Diu Arm" sheetId="112" r:id="rId6"/>
    <sheet name="CT Not Arm" sheetId="113" r:id="rId7"/>
    <sheet name="Sed Diu Des" sheetId="115" r:id="rId8"/>
    <sheet name="Sed Not Des" sheetId="116" r:id="rId9"/>
    <sheet name="Sed Diu Des seg_sex" sheetId="114" r:id="rId10"/>
    <sheet name="Final" sheetId="117" r:id="rId11"/>
  </sheets>
  <externalReferences>
    <externalReference r:id="rId12"/>
  </externalReferences>
  <definedNames>
    <definedName name="Códigos">[1]REFERÊNCIA!$B$4:$B$179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17" l="1"/>
  <c r="F6" i="117"/>
  <c r="D6" i="117"/>
  <c r="D5" i="117"/>
  <c r="D4" i="117"/>
  <c r="F4" i="117" s="1"/>
  <c r="D3" i="117"/>
  <c r="F3" i="117" s="1"/>
  <c r="D2" i="117"/>
  <c r="F2" i="117" s="1"/>
  <c r="F7" i="117" s="1"/>
  <c r="F8" i="117" s="1"/>
  <c r="I103" i="114" l="1"/>
  <c r="I102" i="114"/>
  <c r="I101" i="114"/>
  <c r="I58" i="114"/>
  <c r="H117" i="114"/>
  <c r="H115" i="114"/>
  <c r="I96" i="114"/>
  <c r="H87" i="114"/>
  <c r="H85" i="114"/>
  <c r="H84" i="114"/>
  <c r="H83" i="114"/>
  <c r="H82" i="114"/>
  <c r="H81" i="114"/>
  <c r="H74" i="114"/>
  <c r="H75" i="114" s="1"/>
  <c r="H72" i="114"/>
  <c r="H73" i="114" s="1"/>
  <c r="I56" i="114"/>
  <c r="I55" i="114"/>
  <c r="H39" i="114"/>
  <c r="I29" i="114"/>
  <c r="I103" i="116"/>
  <c r="I102" i="116"/>
  <c r="I101" i="116"/>
  <c r="I58" i="116"/>
  <c r="H117" i="116"/>
  <c r="H115" i="116"/>
  <c r="I96" i="116"/>
  <c r="H87" i="116"/>
  <c r="H85" i="116"/>
  <c r="H84" i="116"/>
  <c r="H83" i="116"/>
  <c r="H82" i="116"/>
  <c r="H81" i="116"/>
  <c r="H75" i="116"/>
  <c r="H74" i="116"/>
  <c r="H72" i="116"/>
  <c r="H73" i="116" s="1"/>
  <c r="I56" i="116"/>
  <c r="I55" i="116"/>
  <c r="H39" i="116"/>
  <c r="H33" i="116"/>
  <c r="I29" i="116"/>
  <c r="I103" i="115"/>
  <c r="I102" i="115"/>
  <c r="I101" i="115"/>
  <c r="I58" i="115"/>
  <c r="H117" i="115"/>
  <c r="H115" i="115"/>
  <c r="I96" i="115"/>
  <c r="H85" i="115"/>
  <c r="H84" i="115"/>
  <c r="H83" i="115"/>
  <c r="H87" i="115" s="1"/>
  <c r="H82" i="115"/>
  <c r="H81" i="115"/>
  <c r="H75" i="115"/>
  <c r="H74" i="115"/>
  <c r="H73" i="115"/>
  <c r="H72" i="115"/>
  <c r="I56" i="115"/>
  <c r="I55" i="115"/>
  <c r="H39" i="115"/>
  <c r="I29" i="115"/>
  <c r="I103" i="113"/>
  <c r="I102" i="113"/>
  <c r="I101" i="113"/>
  <c r="I58" i="113"/>
  <c r="H117" i="113"/>
  <c r="H115" i="113"/>
  <c r="I96" i="113"/>
  <c r="H85" i="113"/>
  <c r="H84" i="113"/>
  <c r="H83" i="113"/>
  <c r="H82" i="113"/>
  <c r="H87" i="113" s="1"/>
  <c r="H81" i="113"/>
  <c r="H75" i="113"/>
  <c r="H74" i="113"/>
  <c r="H72" i="113"/>
  <c r="H73" i="113" s="1"/>
  <c r="I56" i="113"/>
  <c r="I55" i="113"/>
  <c r="H39" i="113"/>
  <c r="H33" i="113"/>
  <c r="I29" i="113"/>
  <c r="I30" i="113" s="1"/>
  <c r="I103" i="112"/>
  <c r="I102" i="112"/>
  <c r="I101" i="112"/>
  <c r="I58" i="112"/>
  <c r="H117" i="112"/>
  <c r="H115" i="112"/>
  <c r="I96" i="112"/>
  <c r="H87" i="112"/>
  <c r="H75" i="112"/>
  <c r="H74" i="112"/>
  <c r="H72" i="112"/>
  <c r="H73" i="112" s="1"/>
  <c r="I56" i="112"/>
  <c r="I55" i="112"/>
  <c r="H39" i="112"/>
  <c r="I29" i="112"/>
  <c r="I105" i="114" l="1"/>
  <c r="I132" i="114" s="1"/>
  <c r="I30" i="114"/>
  <c r="I32" i="114"/>
  <c r="I60" i="114"/>
  <c r="I61" i="114" s="1"/>
  <c r="I67" i="114" s="1"/>
  <c r="I33" i="114"/>
  <c r="I35" i="114" s="1"/>
  <c r="I105" i="116"/>
  <c r="I132" i="116" s="1"/>
  <c r="I35" i="116"/>
  <c r="I74" i="116"/>
  <c r="I30" i="116"/>
  <c r="I32" i="116"/>
  <c r="I33" i="116" s="1"/>
  <c r="I72" i="116"/>
  <c r="I60" i="116"/>
  <c r="I61" i="116" s="1"/>
  <c r="I67" i="116" s="1"/>
  <c r="I105" i="115"/>
  <c r="I132" i="115" s="1"/>
  <c r="I60" i="115"/>
  <c r="I61" i="115" s="1"/>
  <c r="I67" i="115" s="1"/>
  <c r="I30" i="115"/>
  <c r="I32" i="115"/>
  <c r="I105" i="113"/>
  <c r="I132" i="113" s="1"/>
  <c r="I60" i="113"/>
  <c r="I61" i="113" s="1"/>
  <c r="I67" i="113" s="1"/>
  <c r="I32" i="113"/>
  <c r="I33" i="113" s="1"/>
  <c r="I105" i="112"/>
  <c r="I132" i="112" s="1"/>
  <c r="I30" i="112"/>
  <c r="I76" i="114" l="1"/>
  <c r="I45" i="114"/>
  <c r="I72" i="114"/>
  <c r="I50" i="114"/>
  <c r="I85" i="114"/>
  <c r="I82" i="114"/>
  <c r="I44" i="114"/>
  <c r="I49" i="114"/>
  <c r="I128" i="114"/>
  <c r="I84" i="114"/>
  <c r="I81" i="114"/>
  <c r="I48" i="114"/>
  <c r="I40" i="114"/>
  <c r="I39" i="114"/>
  <c r="I41" i="114" s="1"/>
  <c r="I65" i="114" s="1"/>
  <c r="I83" i="114"/>
  <c r="I74" i="114"/>
  <c r="I73" i="114"/>
  <c r="I75" i="114"/>
  <c r="I77" i="116"/>
  <c r="I130" i="116" s="1"/>
  <c r="I76" i="116"/>
  <c r="I82" i="116"/>
  <c r="I85" i="116"/>
  <c r="I83" i="116"/>
  <c r="I128" i="116"/>
  <c r="I84" i="116"/>
  <c r="I81" i="116"/>
  <c r="I40" i="116"/>
  <c r="I39" i="116"/>
  <c r="I73" i="116"/>
  <c r="I75" i="116"/>
  <c r="I33" i="115"/>
  <c r="I35" i="115" s="1"/>
  <c r="I35" i="113"/>
  <c r="I32" i="112"/>
  <c r="I33" i="112"/>
  <c r="I60" i="112"/>
  <c r="I61" i="112" s="1"/>
  <c r="I67" i="112" s="1"/>
  <c r="I51" i="114" l="1"/>
  <c r="I46" i="114"/>
  <c r="I52" i="114" s="1"/>
  <c r="I66" i="114" s="1"/>
  <c r="I68" i="114" s="1"/>
  <c r="I77" i="114"/>
  <c r="I130" i="114" s="1"/>
  <c r="I47" i="114"/>
  <c r="I41" i="116"/>
  <c r="I83" i="115"/>
  <c r="I82" i="115"/>
  <c r="I72" i="115"/>
  <c r="I128" i="115"/>
  <c r="I84" i="115"/>
  <c r="I81" i="115"/>
  <c r="I40" i="115"/>
  <c r="I76" i="115"/>
  <c r="I75" i="115"/>
  <c r="I39" i="115"/>
  <c r="I85" i="115"/>
  <c r="I73" i="115"/>
  <c r="I74" i="115"/>
  <c r="I85" i="113"/>
  <c r="I81" i="113"/>
  <c r="I72" i="113"/>
  <c r="I39" i="113"/>
  <c r="I83" i="113"/>
  <c r="I76" i="113"/>
  <c r="I82" i="113"/>
  <c r="I128" i="113"/>
  <c r="I84" i="113"/>
  <c r="I74" i="113"/>
  <c r="I40" i="113"/>
  <c r="I75" i="113"/>
  <c r="I73" i="113"/>
  <c r="I35" i="112"/>
  <c r="I129" i="114" l="1"/>
  <c r="I133" i="114" s="1"/>
  <c r="I86" i="114"/>
  <c r="I87" i="114" s="1"/>
  <c r="I95" i="114" s="1"/>
  <c r="I97" i="114" s="1"/>
  <c r="I131" i="114" s="1"/>
  <c r="I109" i="114"/>
  <c r="I65" i="116"/>
  <c r="I49" i="116"/>
  <c r="I46" i="116"/>
  <c r="I47" i="116"/>
  <c r="I51" i="116"/>
  <c r="I50" i="116"/>
  <c r="I45" i="116"/>
  <c r="I44" i="116"/>
  <c r="I48" i="116"/>
  <c r="I41" i="115"/>
  <c r="I77" i="115"/>
  <c r="I130" i="115" s="1"/>
  <c r="I77" i="113"/>
  <c r="I130" i="113" s="1"/>
  <c r="I41" i="113"/>
  <c r="I85" i="112"/>
  <c r="I76" i="112"/>
  <c r="I83" i="112"/>
  <c r="I82" i="112"/>
  <c r="I48" i="112"/>
  <c r="I40" i="112"/>
  <c r="I81" i="112"/>
  <c r="I39" i="112"/>
  <c r="I41" i="112" s="1"/>
  <c r="I65" i="112" s="1"/>
  <c r="I84" i="112"/>
  <c r="I128" i="112"/>
  <c r="I74" i="112"/>
  <c r="I72" i="112"/>
  <c r="I75" i="112"/>
  <c r="I73" i="112"/>
  <c r="I110" i="114" l="1"/>
  <c r="I120" i="114" s="1"/>
  <c r="I122" i="114" s="1"/>
  <c r="I52" i="116"/>
  <c r="I66" i="116" s="1"/>
  <c r="I68" i="116" s="1"/>
  <c r="I65" i="115"/>
  <c r="I44" i="115"/>
  <c r="I51" i="115"/>
  <c r="I45" i="115"/>
  <c r="I47" i="115"/>
  <c r="I48" i="115"/>
  <c r="I49" i="115"/>
  <c r="I50" i="115"/>
  <c r="I46" i="115"/>
  <c r="I65" i="113"/>
  <c r="I44" i="113"/>
  <c r="I45" i="113"/>
  <c r="I46" i="113"/>
  <c r="I49" i="113"/>
  <c r="I50" i="113"/>
  <c r="I47" i="113"/>
  <c r="I51" i="113"/>
  <c r="I48" i="113"/>
  <c r="I77" i="112"/>
  <c r="I130" i="112" s="1"/>
  <c r="I47" i="112"/>
  <c r="I44" i="112"/>
  <c r="I50" i="112"/>
  <c r="I49" i="112"/>
  <c r="I46" i="112"/>
  <c r="I45" i="112"/>
  <c r="I51" i="112"/>
  <c r="I112" i="114" l="1"/>
  <c r="I113" i="114"/>
  <c r="I124" i="114"/>
  <c r="I114" i="114"/>
  <c r="I129" i="116"/>
  <c r="I86" i="116"/>
  <c r="I87" i="116" s="1"/>
  <c r="I95" i="116" s="1"/>
  <c r="I97" i="116" s="1"/>
  <c r="I131" i="116" s="1"/>
  <c r="I52" i="115"/>
  <c r="I66" i="115" s="1"/>
  <c r="I68" i="115" s="1"/>
  <c r="I52" i="113"/>
  <c r="I66" i="113" s="1"/>
  <c r="I68" i="113"/>
  <c r="I52" i="112"/>
  <c r="I66" i="112" s="1"/>
  <c r="I68" i="112" s="1"/>
  <c r="I115" i="114" l="1"/>
  <c r="I134" i="114" s="1"/>
  <c r="I135" i="114" s="1"/>
  <c r="I158" i="114" s="1"/>
  <c r="I133" i="116"/>
  <c r="I109" i="116"/>
  <c r="I110" i="116" s="1"/>
  <c r="I120" i="116" s="1"/>
  <c r="I122" i="116" s="1"/>
  <c r="I129" i="115"/>
  <c r="I86" i="115"/>
  <c r="I87" i="115" s="1"/>
  <c r="I95" i="115" s="1"/>
  <c r="I97" i="115" s="1"/>
  <c r="I131" i="115" s="1"/>
  <c r="I129" i="113"/>
  <c r="I86" i="113"/>
  <c r="I87" i="113" s="1"/>
  <c r="I95" i="113" s="1"/>
  <c r="I97" i="113" s="1"/>
  <c r="I131" i="113" s="1"/>
  <c r="I129" i="112"/>
  <c r="I86" i="112"/>
  <c r="I87" i="112" s="1"/>
  <c r="I95" i="112" s="1"/>
  <c r="I97" i="112" s="1"/>
  <c r="I131" i="112" s="1"/>
  <c r="I136" i="114" l="1"/>
  <c r="I109" i="115"/>
  <c r="I110" i="115" s="1"/>
  <c r="I120" i="115" s="1"/>
  <c r="I122" i="115" s="1"/>
  <c r="I112" i="116"/>
  <c r="I113" i="116"/>
  <c r="I124" i="116"/>
  <c r="I114" i="116"/>
  <c r="I133" i="115"/>
  <c r="I109" i="113"/>
  <c r="I133" i="113"/>
  <c r="I109" i="112"/>
  <c r="I110" i="112" s="1"/>
  <c r="I120" i="112" s="1"/>
  <c r="I122" i="112" s="1"/>
  <c r="I133" i="112"/>
  <c r="I115" i="116" l="1"/>
  <c r="I134" i="116" s="1"/>
  <c r="I135" i="116" s="1"/>
  <c r="I158" i="116" s="1"/>
  <c r="I113" i="115"/>
  <c r="I112" i="115"/>
  <c r="I124" i="115"/>
  <c r="I114" i="115"/>
  <c r="I110" i="113"/>
  <c r="I120" i="113" s="1"/>
  <c r="I122" i="113" s="1"/>
  <c r="I112" i="112"/>
  <c r="I124" i="112"/>
  <c r="I114" i="112"/>
  <c r="I113" i="112"/>
  <c r="I136" i="116" l="1"/>
  <c r="I115" i="115"/>
  <c r="I134" i="115" s="1"/>
  <c r="I135" i="115" s="1"/>
  <c r="I158" i="115" s="1"/>
  <c r="I112" i="113"/>
  <c r="I124" i="113"/>
  <c r="I114" i="113"/>
  <c r="I113" i="113"/>
  <c r="I115" i="112"/>
  <c r="I134" i="112" s="1"/>
  <c r="I135" i="112" s="1"/>
  <c r="I136" i="115" l="1"/>
  <c r="I115" i="113"/>
  <c r="I134" i="113" s="1"/>
  <c r="I135" i="113" s="1"/>
  <c r="I158" i="112"/>
  <c r="I136" i="112"/>
  <c r="I158" i="113" l="1"/>
  <c r="I136" i="113"/>
  <c r="F43" i="111" l="1"/>
  <c r="E14" i="111"/>
  <c r="I105" i="109"/>
  <c r="I104" i="109"/>
  <c r="I103" i="109"/>
  <c r="J104" i="109"/>
  <c r="C54" i="111"/>
  <c r="F54" i="111" s="1"/>
  <c r="C53" i="111"/>
  <c r="C52" i="111"/>
  <c r="C51" i="111"/>
  <c r="C41" i="111"/>
  <c r="C40" i="111"/>
  <c r="C39" i="111"/>
  <c r="C38" i="111"/>
  <c r="C30" i="111"/>
  <c r="C29" i="111"/>
  <c r="C28" i="111"/>
  <c r="C27" i="111"/>
  <c r="C26" i="111"/>
  <c r="C25" i="111"/>
  <c r="C24" i="111"/>
  <c r="C23" i="111"/>
  <c r="C22" i="111"/>
  <c r="C21" i="111"/>
  <c r="C20" i="111"/>
  <c r="C13" i="111"/>
  <c r="C12" i="111"/>
  <c r="C11" i="111"/>
  <c r="C10" i="111"/>
  <c r="C9" i="111"/>
  <c r="C8" i="111"/>
  <c r="C7" i="111"/>
  <c r="C6" i="111"/>
  <c r="C5" i="111"/>
  <c r="F41" i="111"/>
  <c r="J51" i="109"/>
  <c r="J52" i="109"/>
  <c r="J53" i="109"/>
  <c r="J54" i="109"/>
  <c r="J9" i="109"/>
  <c r="J10" i="109"/>
  <c r="J11" i="109"/>
  <c r="J12" i="109"/>
  <c r="J13" i="109"/>
  <c r="J8" i="109"/>
  <c r="J134" i="109"/>
  <c r="J9" i="108"/>
  <c r="J10" i="108"/>
  <c r="J11" i="108"/>
  <c r="J12" i="108"/>
  <c r="J13" i="108"/>
  <c r="J14" i="108"/>
  <c r="J8" i="108"/>
  <c r="K171" i="104"/>
  <c r="K172" i="104"/>
  <c r="K173" i="104"/>
  <c r="K174" i="104"/>
  <c r="K175" i="104"/>
  <c r="K133" i="104"/>
  <c r="K134" i="104"/>
  <c r="K135" i="104"/>
  <c r="K136" i="104"/>
  <c r="K137" i="104"/>
  <c r="K138" i="104"/>
  <c r="K139" i="104"/>
  <c r="K132" i="104"/>
  <c r="K98" i="104"/>
  <c r="K99" i="104"/>
  <c r="K100" i="104"/>
  <c r="K101" i="104"/>
  <c r="K102" i="104"/>
  <c r="K97" i="104"/>
  <c r="K11" i="110"/>
  <c r="J98" i="104"/>
  <c r="J99" i="104"/>
  <c r="J100" i="104"/>
  <c r="J101" i="104"/>
  <c r="J102" i="104"/>
  <c r="J11" i="110"/>
  <c r="J9" i="110"/>
  <c r="J97" i="104"/>
  <c r="J135" i="109"/>
  <c r="J124" i="109"/>
  <c r="J115" i="109"/>
  <c r="J102" i="109"/>
  <c r="J93" i="109"/>
  <c r="J81" i="109"/>
  <c r="J72" i="109"/>
  <c r="J70" i="109"/>
  <c r="J62" i="109"/>
  <c r="J42" i="109"/>
  <c r="J41" i="109"/>
  <c r="J30" i="109"/>
  <c r="J20" i="109"/>
  <c r="J53" i="108"/>
  <c r="J42" i="108"/>
  <c r="J32" i="108"/>
  <c r="J21" i="108"/>
  <c r="K9" i="108"/>
  <c r="J170" i="104"/>
  <c r="K160" i="104"/>
  <c r="J159" i="104"/>
  <c r="K146" i="104"/>
  <c r="J145" i="104"/>
  <c r="J132" i="104"/>
  <c r="K121" i="104"/>
  <c r="J121" i="104"/>
  <c r="K109" i="104"/>
  <c r="J109" i="104"/>
  <c r="J87" i="104"/>
  <c r="K76" i="104"/>
  <c r="J76" i="104"/>
  <c r="J75" i="104"/>
  <c r="K64" i="104"/>
  <c r="J64" i="104"/>
  <c r="K53" i="104"/>
  <c r="J52" i="104"/>
  <c r="J20" i="108"/>
  <c r="J52" i="108"/>
  <c r="J54" i="108"/>
  <c r="J55" i="108"/>
  <c r="J56" i="108"/>
  <c r="J43" i="108"/>
  <c r="J44" i="108"/>
  <c r="J45" i="108"/>
  <c r="J41" i="108"/>
  <c r="K41" i="108"/>
  <c r="J31" i="108"/>
  <c r="L41" i="108"/>
  <c r="J35" i="108"/>
  <c r="J24" i="108"/>
  <c r="J57" i="104"/>
  <c r="J8" i="104"/>
  <c r="J136" i="109"/>
  <c r="J137" i="109"/>
  <c r="J138" i="109"/>
  <c r="J125" i="109"/>
  <c r="J126" i="109"/>
  <c r="J127" i="109"/>
  <c r="J123" i="109"/>
  <c r="J13" i="110"/>
  <c r="J12" i="110"/>
  <c r="J10" i="110"/>
  <c r="J84" i="109"/>
  <c r="J83" i="109"/>
  <c r="J82" i="109"/>
  <c r="J80" i="109"/>
  <c r="K81" i="109" s="1"/>
  <c r="J74" i="109"/>
  <c r="J73" i="109"/>
  <c r="J71" i="109"/>
  <c r="J64" i="109"/>
  <c r="J63" i="109"/>
  <c r="J61" i="109"/>
  <c r="K62" i="109" s="1"/>
  <c r="J50" i="109"/>
  <c r="K51" i="109" s="1"/>
  <c r="J44" i="109"/>
  <c r="J43" i="109"/>
  <c r="J35" i="109"/>
  <c r="J34" i="109"/>
  <c r="J33" i="109"/>
  <c r="J32" i="109"/>
  <c r="J31" i="109"/>
  <c r="J29" i="109"/>
  <c r="K30" i="109" s="1"/>
  <c r="J23" i="109"/>
  <c r="J22" i="109"/>
  <c r="J21" i="109"/>
  <c r="J19" i="109"/>
  <c r="K20" i="109" s="1"/>
  <c r="J117" i="109"/>
  <c r="J116" i="109"/>
  <c r="J114" i="109"/>
  <c r="J113" i="109"/>
  <c r="K116" i="109" s="1"/>
  <c r="J106" i="109"/>
  <c r="J105" i="109"/>
  <c r="J103" i="109"/>
  <c r="J96" i="109"/>
  <c r="J95" i="109"/>
  <c r="J94" i="109"/>
  <c r="J92" i="109"/>
  <c r="J91" i="109"/>
  <c r="K93" i="109" s="1"/>
  <c r="K104" i="109" l="1"/>
  <c r="K123" i="109"/>
  <c r="K125" i="109"/>
  <c r="K43" i="109"/>
  <c r="K72" i="109"/>
  <c r="K135" i="109"/>
  <c r="K134" i="109"/>
  <c r="K9" i="109"/>
  <c r="K10" i="109"/>
  <c r="K11" i="109"/>
  <c r="K12" i="109"/>
  <c r="K13" i="109"/>
  <c r="L13" i="109" s="1"/>
  <c r="K8" i="109"/>
  <c r="K42" i="108"/>
  <c r="K44" i="108"/>
  <c r="L44" i="108" s="1"/>
  <c r="K43" i="108"/>
  <c r="K45" i="108"/>
  <c r="K52" i="108"/>
  <c r="L52" i="108" s="1"/>
  <c r="K54" i="108"/>
  <c r="L54" i="108" s="1"/>
  <c r="K55" i="108"/>
  <c r="L55" i="108" s="1"/>
  <c r="K56" i="108"/>
  <c r="L56" i="108" s="1"/>
  <c r="K53" i="108"/>
  <c r="L53" i="108" s="1"/>
  <c r="K13" i="110"/>
  <c r="L13" i="110" s="1"/>
  <c r="L135" i="109"/>
  <c r="K126" i="109"/>
  <c r="L126" i="109" s="1"/>
  <c r="K124" i="109"/>
  <c r="K136" i="109"/>
  <c r="L136" i="109" s="1"/>
  <c r="L134" i="109"/>
  <c r="K138" i="109"/>
  <c r="L138" i="109" s="1"/>
  <c r="L123" i="109"/>
  <c r="K137" i="109"/>
  <c r="L137" i="109" s="1"/>
  <c r="K127" i="109"/>
  <c r="L127" i="109" s="1"/>
  <c r="K41" i="109"/>
  <c r="L41" i="109" s="1"/>
  <c r="L104" i="109"/>
  <c r="K84" i="109"/>
  <c r="L84" i="109" s="1"/>
  <c r="L43" i="109"/>
  <c r="K10" i="110"/>
  <c r="L10" i="110" s="1"/>
  <c r="K12" i="110"/>
  <c r="L12" i="110" s="1"/>
  <c r="K9" i="110"/>
  <c r="L9" i="110" s="1"/>
  <c r="L11" i="110"/>
  <c r="K91" i="109"/>
  <c r="L91" i="109" s="1"/>
  <c r="K117" i="109"/>
  <c r="L117" i="109" s="1"/>
  <c r="K70" i="109"/>
  <c r="L70" i="109" s="1"/>
  <c r="K80" i="109"/>
  <c r="L80" i="109" s="1"/>
  <c r="K95" i="109"/>
  <c r="L95" i="109" s="1"/>
  <c r="K105" i="109"/>
  <c r="L105" i="109" s="1"/>
  <c r="K106" i="109"/>
  <c r="L106" i="109" s="1"/>
  <c r="L12" i="109"/>
  <c r="K63" i="109"/>
  <c r="L63" i="109" s="1"/>
  <c r="K74" i="109"/>
  <c r="L74" i="109" s="1"/>
  <c r="K82" i="109"/>
  <c r="L82" i="109" s="1"/>
  <c r="K19" i="109"/>
  <c r="L19" i="109" s="1"/>
  <c r="K29" i="109"/>
  <c r="L29" i="109" s="1"/>
  <c r="K52" i="109"/>
  <c r="L52" i="109" s="1"/>
  <c r="K102" i="109"/>
  <c r="L102" i="109" s="1"/>
  <c r="K113" i="109"/>
  <c r="L113" i="109" s="1"/>
  <c r="K44" i="109"/>
  <c r="L44" i="109" s="1"/>
  <c r="K53" i="109"/>
  <c r="L53" i="109" s="1"/>
  <c r="L125" i="109"/>
  <c r="K115" i="109"/>
  <c r="L115" i="109" s="1"/>
  <c r="L30" i="109"/>
  <c r="K34" i="109"/>
  <c r="L34" i="109" s="1"/>
  <c r="L93" i="109"/>
  <c r="L11" i="109"/>
  <c r="K50" i="109"/>
  <c r="L50" i="109" s="1"/>
  <c r="L62" i="109"/>
  <c r="K64" i="109"/>
  <c r="L64" i="109" s="1"/>
  <c r="K32" i="109"/>
  <c r="L32" i="109" s="1"/>
  <c r="L51" i="109"/>
  <c r="K103" i="109"/>
  <c r="L103" i="109" s="1"/>
  <c r="L124" i="109"/>
  <c r="L8" i="109"/>
  <c r="K31" i="109"/>
  <c r="L31" i="109" s="1"/>
  <c r="K33" i="109"/>
  <c r="L33" i="109" s="1"/>
  <c r="K35" i="109"/>
  <c r="L35" i="109" s="1"/>
  <c r="K54" i="109"/>
  <c r="L54" i="109" s="1"/>
  <c r="K61" i="109"/>
  <c r="L61" i="109" s="1"/>
  <c r="L81" i="109"/>
  <c r="K83" i="109"/>
  <c r="L83" i="109" s="1"/>
  <c r="K22" i="109"/>
  <c r="L22" i="109" s="1"/>
  <c r="L72" i="109"/>
  <c r="K94" i="109"/>
  <c r="L94" i="109" s="1"/>
  <c r="K114" i="109"/>
  <c r="L114" i="109" s="1"/>
  <c r="L116" i="109"/>
  <c r="L20" i="109"/>
  <c r="K21" i="109"/>
  <c r="L21" i="109" s="1"/>
  <c r="K23" i="109"/>
  <c r="L23" i="109" s="1"/>
  <c r="K71" i="109"/>
  <c r="L71" i="109" s="1"/>
  <c r="K73" i="109"/>
  <c r="L73" i="109" s="1"/>
  <c r="L9" i="109"/>
  <c r="K92" i="109"/>
  <c r="L92" i="109" s="1"/>
  <c r="K96" i="109"/>
  <c r="L96" i="109" s="1"/>
  <c r="L10" i="109"/>
  <c r="K42" i="109"/>
  <c r="L42" i="109" s="1"/>
  <c r="M52" i="108" l="1"/>
  <c r="N52" i="108" s="1"/>
  <c r="M134" i="109"/>
  <c r="M102" i="109"/>
  <c r="M41" i="109"/>
  <c r="M113" i="109"/>
  <c r="M70" i="109"/>
  <c r="M9" i="110"/>
  <c r="N9" i="110" s="1"/>
  <c r="M91" i="109"/>
  <c r="M80" i="109"/>
  <c r="M19" i="109"/>
  <c r="C63" i="111" s="1"/>
  <c r="C78" i="111" s="1"/>
  <c r="M29" i="109"/>
  <c r="M50" i="109"/>
  <c r="M123" i="109"/>
  <c r="M8" i="109"/>
  <c r="M61" i="109"/>
  <c r="N61" i="109" l="1"/>
  <c r="C67" i="111"/>
  <c r="C82" i="111" s="1"/>
  <c r="F82" i="111" s="1"/>
  <c r="N8" i="109"/>
  <c r="C62" i="111"/>
  <c r="C77" i="111" s="1"/>
  <c r="F77" i="111" s="1"/>
  <c r="N123" i="109"/>
  <c r="C88" i="111"/>
  <c r="N50" i="109"/>
  <c r="C66" i="111"/>
  <c r="C81" i="111" s="1"/>
  <c r="N29" i="109"/>
  <c r="C64" i="111"/>
  <c r="C79" i="111" s="1"/>
  <c r="F79" i="111" s="1"/>
  <c r="N80" i="109"/>
  <c r="C69" i="111"/>
  <c r="C84" i="111" s="1"/>
  <c r="N91" i="109"/>
  <c r="C85" i="111"/>
  <c r="F85" i="111" s="1"/>
  <c r="N70" i="109"/>
  <c r="C68" i="111"/>
  <c r="C83" i="111" s="1"/>
  <c r="F83" i="111" s="1"/>
  <c r="N113" i="109"/>
  <c r="C87" i="111"/>
  <c r="N41" i="109"/>
  <c r="C65" i="111"/>
  <c r="C80" i="111" s="1"/>
  <c r="N134" i="109"/>
  <c r="C89" i="111"/>
  <c r="F89" i="111" s="1"/>
  <c r="N102" i="109"/>
  <c r="C86" i="111"/>
  <c r="J34" i="108"/>
  <c r="J33" i="108"/>
  <c r="J23" i="108"/>
  <c r="J22" i="108"/>
  <c r="J77" i="104"/>
  <c r="J78" i="104"/>
  <c r="J79" i="104"/>
  <c r="J80" i="104"/>
  <c r="J65" i="104"/>
  <c r="J66" i="104"/>
  <c r="J67" i="104"/>
  <c r="J68" i="104"/>
  <c r="J69" i="104"/>
  <c r="J53" i="104"/>
  <c r="J54" i="104"/>
  <c r="J55" i="104"/>
  <c r="J56" i="104"/>
  <c r="J41" i="104"/>
  <c r="J42" i="104"/>
  <c r="J43" i="104"/>
  <c r="J44" i="104"/>
  <c r="J45" i="104"/>
  <c r="J40" i="104"/>
  <c r="E7" i="111"/>
  <c r="F86" i="111"/>
  <c r="F87" i="111"/>
  <c r="F88" i="111"/>
  <c r="F78" i="111"/>
  <c r="F80" i="111"/>
  <c r="F81" i="111"/>
  <c r="F84" i="111"/>
  <c r="F51" i="111"/>
  <c r="F63" i="111"/>
  <c r="F64" i="111"/>
  <c r="F69" i="111"/>
  <c r="F62" i="111"/>
  <c r="F52" i="111"/>
  <c r="F53" i="111"/>
  <c r="E21" i="111"/>
  <c r="E22" i="111"/>
  <c r="E23" i="111"/>
  <c r="E24" i="111"/>
  <c r="E25" i="111"/>
  <c r="E26" i="111"/>
  <c r="E27" i="111"/>
  <c r="E28" i="111"/>
  <c r="E29" i="111"/>
  <c r="E30" i="111"/>
  <c r="F68" i="111" l="1"/>
  <c r="F67" i="111"/>
  <c r="F66" i="111"/>
  <c r="F65" i="111"/>
  <c r="F55" i="111"/>
  <c r="K21" i="108"/>
  <c r="K20" i="108"/>
  <c r="K32" i="108"/>
  <c r="L32" i="108" s="1"/>
  <c r="K35" i="108"/>
  <c r="K33" i="108"/>
  <c r="K31" i="108"/>
  <c r="K14" i="108"/>
  <c r="L14" i="108" s="1"/>
  <c r="L45" i="108"/>
  <c r="L43" i="108"/>
  <c r="L42" i="108"/>
  <c r="K34" i="108"/>
  <c r="L34" i="108" s="1"/>
  <c r="L35" i="108"/>
  <c r="K12" i="108"/>
  <c r="L12" i="108" s="1"/>
  <c r="L33" i="108"/>
  <c r="L31" i="108"/>
  <c r="K24" i="108"/>
  <c r="L24" i="108" s="1"/>
  <c r="L21" i="108"/>
  <c r="K11" i="108"/>
  <c r="L11" i="108" s="1"/>
  <c r="L20" i="108"/>
  <c r="K23" i="108"/>
  <c r="L23" i="108" s="1"/>
  <c r="L9" i="108"/>
  <c r="K13" i="108"/>
  <c r="L13" i="108" s="1"/>
  <c r="K8" i="108"/>
  <c r="L8" i="108" s="1"/>
  <c r="K22" i="108"/>
  <c r="L22" i="108" s="1"/>
  <c r="K10" i="108"/>
  <c r="L10" i="108" s="1"/>
  <c r="K55" i="104"/>
  <c r="L55" i="104" s="1"/>
  <c r="K43" i="104"/>
  <c r="K44" i="104"/>
  <c r="L44" i="104" s="1"/>
  <c r="L76" i="104"/>
  <c r="K56" i="104"/>
  <c r="L56" i="104" s="1"/>
  <c r="K69" i="104"/>
  <c r="L69" i="104" s="1"/>
  <c r="K68" i="104"/>
  <c r="K75" i="104"/>
  <c r="L75" i="104" s="1"/>
  <c r="K42" i="104"/>
  <c r="L42" i="104" s="1"/>
  <c r="K54" i="104"/>
  <c r="L54" i="104" s="1"/>
  <c r="K67" i="104"/>
  <c r="L67" i="104" s="1"/>
  <c r="K80" i="104"/>
  <c r="L80" i="104" s="1"/>
  <c r="K41" i="104"/>
  <c r="L41" i="104" s="1"/>
  <c r="L53" i="104"/>
  <c r="K66" i="104"/>
  <c r="L66" i="104" s="1"/>
  <c r="K79" i="104"/>
  <c r="L79" i="104" s="1"/>
  <c r="K40" i="104"/>
  <c r="L40" i="104" s="1"/>
  <c r="K52" i="104"/>
  <c r="L52" i="104" s="1"/>
  <c r="K65" i="104"/>
  <c r="L65" i="104" s="1"/>
  <c r="K78" i="104"/>
  <c r="L78" i="104" s="1"/>
  <c r="K45" i="104"/>
  <c r="L45" i="104" s="1"/>
  <c r="K57" i="104"/>
  <c r="L57" i="104" s="1"/>
  <c r="L64" i="104"/>
  <c r="K77" i="104"/>
  <c r="L77" i="104" s="1"/>
  <c r="L68" i="104"/>
  <c r="L43" i="104"/>
  <c r="F90" i="111"/>
  <c r="F91" i="111" s="1"/>
  <c r="F70" i="111" l="1"/>
  <c r="F71" i="111" s="1"/>
  <c r="M41" i="108"/>
  <c r="N41" i="108" s="1"/>
  <c r="M31" i="108"/>
  <c r="N31" i="108" s="1"/>
  <c r="M20" i="108"/>
  <c r="N20" i="108" s="1"/>
  <c r="M8" i="108"/>
  <c r="N8" i="108" s="1"/>
  <c r="M64" i="104"/>
  <c r="N64" i="104" s="1"/>
  <c r="M75" i="104"/>
  <c r="N75" i="104" s="1"/>
  <c r="M52" i="104"/>
  <c r="N52" i="104" s="1"/>
  <c r="M40" i="104"/>
  <c r="N40" i="104" s="1"/>
  <c r="F40" i="111"/>
  <c r="F39" i="111"/>
  <c r="F38" i="111"/>
  <c r="E20" i="111"/>
  <c r="E12" i="111"/>
  <c r="E11" i="111"/>
  <c r="E10" i="111"/>
  <c r="E9" i="111"/>
  <c r="E8" i="111"/>
  <c r="E6" i="111"/>
  <c r="E5" i="111"/>
  <c r="J19" i="104"/>
  <c r="J20" i="104"/>
  <c r="J21" i="104"/>
  <c r="J22" i="104"/>
  <c r="J18" i="104"/>
  <c r="J7" i="104"/>
  <c r="J9" i="104"/>
  <c r="J10" i="104"/>
  <c r="J11" i="104"/>
  <c r="F42" i="111" l="1"/>
  <c r="E15" i="111"/>
  <c r="F56" i="111"/>
  <c r="E31" i="111"/>
  <c r="E32" i="111" s="1"/>
  <c r="K19" i="104"/>
  <c r="K22" i="104"/>
  <c r="L22" i="104" s="1"/>
  <c r="K21" i="104"/>
  <c r="L21" i="104" s="1"/>
  <c r="K20" i="104"/>
  <c r="L20" i="104" s="1"/>
  <c r="J88" i="104" l="1"/>
  <c r="J89" i="104"/>
  <c r="J90" i="104"/>
  <c r="J6" i="104"/>
  <c r="J160" i="104" l="1"/>
  <c r="J161" i="104"/>
  <c r="J162" i="104"/>
  <c r="J163" i="104"/>
  <c r="J164" i="104"/>
  <c r="J122" i="104"/>
  <c r="J123" i="104"/>
  <c r="J124" i="104"/>
  <c r="J125" i="104"/>
  <c r="J171" i="104"/>
  <c r="J172" i="104"/>
  <c r="J173" i="104"/>
  <c r="J174" i="104"/>
  <c r="J175" i="104"/>
  <c r="J146" i="104"/>
  <c r="J147" i="104"/>
  <c r="J148" i="104"/>
  <c r="J149" i="104"/>
  <c r="J150" i="104"/>
  <c r="J151" i="104"/>
  <c r="J152" i="104"/>
  <c r="J133" i="104"/>
  <c r="J134" i="104"/>
  <c r="J135" i="104"/>
  <c r="J136" i="104"/>
  <c r="J137" i="104"/>
  <c r="J138" i="104"/>
  <c r="J139" i="104"/>
  <c r="J110" i="104"/>
  <c r="J111" i="104"/>
  <c r="J112" i="104"/>
  <c r="J113" i="104"/>
  <c r="J114" i="104"/>
  <c r="J29" i="104"/>
  <c r="J30" i="104"/>
  <c r="J31" i="104"/>
  <c r="J32" i="104"/>
  <c r="J33" i="104"/>
  <c r="J28" i="104"/>
  <c r="K152" i="104"/>
  <c r="L152" i="104" s="1"/>
  <c r="J158" i="104"/>
  <c r="L139" i="104"/>
  <c r="L101" i="104" l="1"/>
  <c r="L97" i="104"/>
  <c r="L102" i="104"/>
  <c r="L98" i="104"/>
  <c r="L100" i="104"/>
  <c r="L99" i="104"/>
  <c r="K122" i="104"/>
  <c r="L122" i="104" s="1"/>
  <c r="K159" i="104"/>
  <c r="L159" i="104" s="1"/>
  <c r="L160" i="104"/>
  <c r="K161" i="104"/>
  <c r="L161" i="104" s="1"/>
  <c r="K162" i="104"/>
  <c r="L162" i="104" s="1"/>
  <c r="K163" i="104"/>
  <c r="L163" i="104" s="1"/>
  <c r="K164" i="104"/>
  <c r="L164" i="104" s="1"/>
  <c r="K148" i="104"/>
  <c r="L148" i="104" s="1"/>
  <c r="K149" i="104"/>
  <c r="L149" i="104" s="1"/>
  <c r="K150" i="104"/>
  <c r="L150" i="104" s="1"/>
  <c r="K151" i="104"/>
  <c r="L151" i="104" s="1"/>
  <c r="L146" i="104"/>
  <c r="K147" i="104"/>
  <c r="L147" i="104" s="1"/>
  <c r="K113" i="104"/>
  <c r="L113" i="104" s="1"/>
  <c r="K114" i="104"/>
  <c r="L114" i="104" s="1"/>
  <c r="K110" i="104"/>
  <c r="L110" i="104" s="1"/>
  <c r="K111" i="104"/>
  <c r="L111" i="104" s="1"/>
  <c r="K112" i="104"/>
  <c r="L112" i="104" s="1"/>
  <c r="K125" i="104"/>
  <c r="L125" i="104" s="1"/>
  <c r="K124" i="104"/>
  <c r="L124" i="104" s="1"/>
  <c r="K30" i="104"/>
  <c r="L30" i="104" s="1"/>
  <c r="K31" i="104"/>
  <c r="L31" i="104" s="1"/>
  <c r="K32" i="104"/>
  <c r="L32" i="104" s="1"/>
  <c r="K33" i="104"/>
  <c r="L33" i="104" s="1"/>
  <c r="K29" i="104"/>
  <c r="L29" i="104" s="1"/>
  <c r="L173" i="104"/>
  <c r="L174" i="104"/>
  <c r="L175" i="104"/>
  <c r="L172" i="104"/>
  <c r="L121" i="104"/>
  <c r="K28" i="104"/>
  <c r="L28" i="104" s="1"/>
  <c r="L136" i="104"/>
  <c r="L135" i="104"/>
  <c r="L137" i="104"/>
  <c r="L138" i="104"/>
  <c r="L132" i="104"/>
  <c r="L134" i="104"/>
  <c r="L133" i="104"/>
  <c r="K170" i="104"/>
  <c r="L170" i="104" s="1"/>
  <c r="L171" i="104"/>
  <c r="K145" i="104"/>
  <c r="L145" i="104" s="1"/>
  <c r="K123" i="104"/>
  <c r="L123" i="104" s="1"/>
  <c r="K8" i="104"/>
  <c r="L8" i="104" s="1"/>
  <c r="K87" i="104"/>
  <c r="L87" i="104" s="1"/>
  <c r="K89" i="104"/>
  <c r="L89" i="104" s="1"/>
  <c r="K88" i="104"/>
  <c r="L88" i="104" s="1"/>
  <c r="K158" i="104"/>
  <c r="L158" i="104" s="1"/>
  <c r="L109" i="104"/>
  <c r="K18" i="104"/>
  <c r="L18" i="104" s="1"/>
  <c r="K90" i="104"/>
  <c r="L90" i="104" s="1"/>
  <c r="L19" i="104"/>
  <c r="K6" i="104"/>
  <c r="L6" i="104" s="1"/>
  <c r="K7" i="104"/>
  <c r="L7" i="104" s="1"/>
  <c r="K9" i="104"/>
  <c r="L9" i="104" s="1"/>
  <c r="K10" i="104"/>
  <c r="L10" i="104" s="1"/>
  <c r="K11" i="104"/>
  <c r="L11" i="104" s="1"/>
  <c r="M18" i="104" l="1"/>
  <c r="N18" i="104" s="1"/>
  <c r="M97" i="104"/>
  <c r="N97" i="104" s="1"/>
  <c r="M87" i="104"/>
  <c r="N87" i="104" s="1"/>
  <c r="M28" i="104"/>
  <c r="N28" i="104" s="1"/>
  <c r="M109" i="104"/>
  <c r="N109" i="104" s="1"/>
  <c r="M121" i="104"/>
  <c r="N121" i="104" s="1"/>
  <c r="M158" i="104"/>
  <c r="N158" i="104" s="1"/>
  <c r="M132" i="104"/>
  <c r="N132" i="104" s="1"/>
  <c r="M145" i="104"/>
  <c r="N145" i="104" s="1"/>
  <c r="M170" i="104"/>
  <c r="N170" i="104" s="1"/>
  <c r="M6" i="104"/>
  <c r="N6" i="104" s="1"/>
</calcChain>
</file>

<file path=xl/sharedStrings.xml><?xml version="1.0" encoding="utf-8"?>
<sst xmlns="http://schemas.openxmlformats.org/spreadsheetml/2006/main" count="2813" uniqueCount="742">
  <si>
    <t xml:space="preserve">PESQUISA DE PREÇOS </t>
  </si>
  <si>
    <t>CPCON/GTSG/SAF</t>
  </si>
  <si>
    <t>CÓDIGO:</t>
  </si>
  <si>
    <t>OBJETO:</t>
  </si>
  <si>
    <t>UNIDADE:</t>
  </si>
  <si>
    <t>LOCAL:</t>
  </si>
  <si>
    <t>TERNO</t>
  </si>
  <si>
    <t>UNIDADE</t>
  </si>
  <si>
    <t>BRASÍLIA/DF</t>
  </si>
  <si>
    <t>R$ Referência</t>
  </si>
  <si>
    <t>GPO</t>
  </si>
  <si>
    <t>ITEM</t>
  </si>
  <si>
    <t>QNT</t>
  </si>
  <si>
    <t>ITEM LIC. / P. COM.</t>
  </si>
  <si>
    <t>DATA (Prop./Hom.)</t>
  </si>
  <si>
    <t>UASG - ÓRGÃO/FONE - CONTATO</t>
  </si>
  <si>
    <t>EMPRESA/CNPJ</t>
  </si>
  <si>
    <t xml:space="preserve">R$ </t>
  </si>
  <si>
    <t>R$¹</t>
  </si>
  <si>
    <t>R$²</t>
  </si>
  <si>
    <t>R$ Unit.</t>
  </si>
  <si>
    <t>R$ Total</t>
  </si>
  <si>
    <t xml:space="preserve">	90117/2024</t>
  </si>
  <si>
    <t>120628 - GRUPAMENTO DE APOIO DE BELÉM</t>
  </si>
  <si>
    <t>NUBIA TEIXEIRA DA MAIA/ 47620121000108</t>
  </si>
  <si>
    <t>90065/2024</t>
  </si>
  <si>
    <t xml:space="preserve">	120625 - GRUPAMENTO DE APOIO DO DF</t>
  </si>
  <si>
    <t xml:space="preserve">	SILVENINA UNIFORMES LTDA/ 	18386337000144</t>
  </si>
  <si>
    <t xml:space="preserve">	90020/2024</t>
  </si>
  <si>
    <t xml:space="preserve">	26/11/2024</t>
  </si>
  <si>
    <t xml:space="preserve">	160303 - BASE DE ADMINIST. E APOIO DA 1ª REG. MILITAR</t>
  </si>
  <si>
    <t>FARIAS &amp; CARVALHO DISTRIBUIDORA LTDA/ 49393141000100</t>
  </si>
  <si>
    <t>SITE</t>
  </si>
  <si>
    <t>www.ciadoterno.com.br</t>
  </si>
  <si>
    <t>CIA DO TERNO LTDA. - ME - 20.758.306/0001-19</t>
  </si>
  <si>
    <t>www.mrmaximus.com.br</t>
  </si>
  <si>
    <t>MAXIMUS NEGÓCIOS DIGITAIS LTDA - 54.372.577/0001-53</t>
  </si>
  <si>
    <t>www.marinhoshopping.com</t>
  </si>
  <si>
    <t>SHOPPING MARINHO COMÉRCIO E SERVIÇOS LTDA - ME - 78.165.271/0002-75</t>
  </si>
  <si>
    <t>CAMISA MANGA COMPRIDA</t>
  </si>
  <si>
    <t xml:space="preserve">	90877/2024</t>
  </si>
  <si>
    <t xml:space="preserve">	10/10/2024</t>
  </si>
  <si>
    <t xml:space="preserve">	453079 - SECRETARIA DE ESTADO DE SEGURANÇA PÚBLICA-PR</t>
  </si>
  <si>
    <t xml:space="preserve">		A L DA SILVA CONFECCOES/	36424884000159</t>
  </si>
  <si>
    <t xml:space="preserve">	90065/2024</t>
  </si>
  <si>
    <t xml:space="preserve">	29/01/2025</t>
  </si>
  <si>
    <t>SILVENINA UNIFORMES LTDA /	18386337000144</t>
  </si>
  <si>
    <t>www.tng.com.br</t>
  </si>
  <si>
    <t>TNG COMÉRCIO E INDÚSTRIA DE ROUPAS - 53.966.834/0001-07</t>
  </si>
  <si>
    <t>www.cea.com.br</t>
  </si>
  <si>
    <t>C&amp;A MODAS S.A. - 45.242.914/0001-05</t>
  </si>
  <si>
    <t>www.citerol.com.br</t>
  </si>
  <si>
    <t>CITEROL COMÉRCIO E INDÚSTRIA DE TECIDOS E ROUPAS S.A. - 17.183.666/0001-25</t>
  </si>
  <si>
    <t>CAMISETA DE ALGODÃO MANGA CURTA</t>
  </si>
  <si>
    <t>90006/2024</t>
  </si>
  <si>
    <t xml:space="preserve">	158156 - INST.FED.DE EDUC.,CIENC.E TEC.DO ACRE</t>
  </si>
  <si>
    <t xml:space="preserve">	SSC COMERCIO E REPRESENTACOES LTDA/ 45118371000100</t>
  </si>
  <si>
    <t xml:space="preserve">	90038/2024</t>
  </si>
  <si>
    <t>153035 - UNIVERSIDADE FEDERAL DO TRIANGULO MINEIRO</t>
  </si>
  <si>
    <t>UNIFORMES DIAS LTDA/ 	10638444000100</t>
  </si>
  <si>
    <t>www.hering.com.br</t>
  </si>
  <si>
    <t>CIA HERING - 78.876.950/0001-71</t>
  </si>
  <si>
    <t>www.malwee.com.br</t>
  </si>
  <si>
    <t>MALWEE MALHAS LTDA - 84.429.737/0007-00</t>
  </si>
  <si>
    <t>www.lojasrenner.com.br</t>
  </si>
  <si>
    <t>LOJAS RENNER S.A. - 92.754.738/0001-62</t>
  </si>
  <si>
    <t>www.anistia.com.br</t>
  </si>
  <si>
    <t>ANST INDUSTRIA E COMERCIO DE ROUPAS LTDA - 45.043.478/0001-37</t>
  </si>
  <si>
    <t>GRAVATA</t>
  </si>
  <si>
    <t xml:space="preserve">	90026/2024</t>
  </si>
  <si>
    <t xml:space="preserve">	02/12/2024</t>
  </si>
  <si>
    <t xml:space="preserve">	930222 - SERVIÇO NACIONAL DE APRENDIZAGEM COMERCIAL-AP</t>
  </si>
  <si>
    <t xml:space="preserve">	E. F. DE OLIVEIRA GHAMMACHI / 	04153583000141</t>
  </si>
  <si>
    <t xml:space="preserve">	90005/2024</t>
  </si>
  <si>
    <t xml:space="preserve">	05/12/2024</t>
  </si>
  <si>
    <t xml:space="preserve">	160016 - COMANDO DO COMANDO MILITAR DA AMAZONIA/MEX/AM</t>
  </si>
  <si>
    <t>B2G MEDICAL COMERCIO DE PRODUTOS MEDICOS E CIRURGICOS LTDA/ 	22808990000121</t>
  </si>
  <si>
    <t>120625 - GRUPAMENTO DE APOIO DO DF</t>
  </si>
  <si>
    <t xml:space="preserve">	COPATT COMERCIO E SERVICOS PERSONALIZADOS LTDA /10432571000159</t>
  </si>
  <si>
    <t>www.topgravatas.com.br</t>
  </si>
  <si>
    <t xml:space="preserve"> TOP GRAVATAS &amp; ACESSORIOS - 18.073.419/0001-39</t>
  </si>
  <si>
    <t>www.dmaisgravatas.com.br</t>
  </si>
  <si>
    <t>C DE A P S E SILVA - EPP - 38.010.097/0001-96</t>
  </si>
  <si>
    <t>www.gravatasdobrasil.com.br</t>
  </si>
  <si>
    <t>GRAVATAS DO BRASIL - 00.861.571/0001-10</t>
  </si>
  <si>
    <t>CINTO EM NYLON</t>
  </si>
  <si>
    <t xml:space="preserve">	90002/2024</t>
  </si>
  <si>
    <t xml:space="preserve">	986475 - PREFEITURA MUNICIPAL DE GUARUJÁ - SP</t>
  </si>
  <si>
    <t xml:space="preserve">	B.G.F. COMERCIO DE CONFECCOES E CALCADOS LTDA/19820891000150</t>
  </si>
  <si>
    <t>90033/2024</t>
  </si>
  <si>
    <t xml:space="preserve">	03/12/2024</t>
  </si>
  <si>
    <t>180180 - ESP-DIRETORIA DE LOGISTICA - DL</t>
  </si>
  <si>
    <t>UNIART METAIS E MADEIRA LTDA /	47482995000138</t>
  </si>
  <si>
    <t xml:space="preserve">	90022/2024</t>
  </si>
  <si>
    <t xml:space="preserve">	16/01/2025</t>
  </si>
  <si>
    <t>926079 - PMSP - SECRETARIA MUNICIPAL SEGURANÇA URBANA</t>
  </si>
  <si>
    <t xml:space="preserve">	EDIMILTON DE SOUSA TELES/	39019120000176</t>
  </si>
  <si>
    <t>www.couroart.com.br</t>
  </si>
  <si>
    <t>FMC INDUSTRIA COMERCIO LTDA - 09.285.251/0002-15</t>
  </si>
  <si>
    <t>www.cintosjulioalmeida.com.br</t>
  </si>
  <si>
    <t>JULIO ALMEIDA STORE - 52.196.244/0001-95</t>
  </si>
  <si>
    <t>www.abmfardamentos.com.br</t>
  </si>
  <si>
    <t>ABM FARDAMENTOS E ARTIGOS MILITARES - 25.044.856/0001-90</t>
  </si>
  <si>
    <t>PAR DE MEIAS SOCIAL</t>
  </si>
  <si>
    <t>90352/2024</t>
  </si>
  <si>
    <t xml:space="preserve">	31/01/2025</t>
  </si>
  <si>
    <t>986249 - PREFEITURA MUNICIPAL DE BOTUCATU</t>
  </si>
  <si>
    <t>LM COMERCIAL UNIFORMES MILITARES LTDA/ 	48872983000182</t>
  </si>
  <si>
    <t>90019/2024</t>
  </si>
  <si>
    <t xml:space="preserve">	17/10/2024</t>
  </si>
  <si>
    <t xml:space="preserve">	120643 - BASE AÉREA DE SANTA MARIA</t>
  </si>
  <si>
    <t xml:space="preserve">	HABIB DECORACOES DE ITAJUBA LTDA/ 	03851189000114</t>
  </si>
  <si>
    <t>00040/2023</t>
  </si>
  <si>
    <t>160249 - ACADEMIA MILITAR DAS AGULHAS NEGRAS/RJ</t>
  </si>
  <si>
    <t>BRASIL DISTRIBUIDORA DE MATERIAIS E SERVICOS LTDA/ 	08223023000177</t>
  </si>
  <si>
    <t>www.riachuelo.com.br</t>
  </si>
  <si>
    <t xml:space="preserve"> LOJAS RIACHUELO S.A. - 33.200.056/0001-49</t>
  </si>
  <si>
    <t>www.mash.com.br</t>
  </si>
  <si>
    <t>MASH INDÚSTRIA E COMÉRCIO - 03.125.730/0004-50</t>
  </si>
  <si>
    <t>SAPATO SOCIAL</t>
  </si>
  <si>
    <t xml:space="preserve">	90014/2024</t>
  </si>
  <si>
    <t xml:space="preserve">	160049 - 10. DEPOSITO DE SUPRIMENTO/MEX - CE</t>
  </si>
  <si>
    <t>E F LUCENA FILHO/	55975670000115</t>
  </si>
  <si>
    <t xml:space="preserve">	10/01/2025</t>
  </si>
  <si>
    <t xml:space="preserve">	160428 - 2 REGIMENTO DE CAVALARIA MECANIZADO/RS</t>
  </si>
  <si>
    <t xml:space="preserve">	INOVARE COMERCIO E PLANEJAMENTO ADMINISTRATIVO LTDA/ 	14378714000142</t>
  </si>
  <si>
    <t xml:space="preserve">	90021/2024</t>
  </si>
  <si>
    <t xml:space="preserve">	03/01/2025</t>
  </si>
  <si>
    <t xml:space="preserve">	135036 - EMBRAPA ARROZ E FEIJAO/STO ANTONIO DE GOIAS</t>
  </si>
  <si>
    <t xml:space="preserve">	TOTAL SEGURANCA EQUIPAMENTOS DE PROTECAO E SERVICOS ESPECIALIZADOS LTDA/13851726000180</t>
  </si>
  <si>
    <t>www.zattini.com.br</t>
  </si>
  <si>
    <t>NS2.COM INTERNET S.A - 09.339.936/0009-73</t>
  </si>
  <si>
    <t>CRACHÁ DE INTIFICAÇÃO</t>
  </si>
  <si>
    <t xml:space="preserve">	90011/2024</t>
  </si>
  <si>
    <t xml:space="preserve">	927487 - CONSELHO REG. DOS TECNICOS INDUSTRIAIS 4ª-SC</t>
  </si>
  <si>
    <t xml:space="preserve">	IDPROMO COMERCIAL LTDA/ 17791755000154</t>
  </si>
  <si>
    <t xml:space="preserve">	90010/2024</t>
  </si>
  <si>
    <t xml:space="preserve">	24/01/2025</t>
  </si>
  <si>
    <t xml:space="preserve">	980136 - PREFEITURA MUNICIPAL DE BURITIRANA - MA</t>
  </si>
  <si>
    <t xml:space="preserve">	GRAFICA E EDITORA BRASIL LTDA/	00732085000100</t>
  </si>
  <si>
    <t>www.i9automacaocomercial.com.br</t>
  </si>
  <si>
    <t>I9 AUTOMAÇÃO COMERCIAL - 28.569.840/0001-99</t>
  </si>
  <si>
    <t>www.printi.com.br</t>
  </si>
  <si>
    <t>FM IMPRESSOS PERSONALIZADOS LTDA. - 13.555.994/0001-54</t>
  </si>
  <si>
    <t>CAPA PARA COLETE BALÍSTICO</t>
  </si>
  <si>
    <t>90009/2024</t>
  </si>
  <si>
    <t xml:space="preserve">	20/01/2025</t>
  </si>
  <si>
    <t xml:space="preserve">	927119 - SECRETARIA DE SEGURANÇA PÚB.DO EST. DO PIAUI</t>
  </si>
  <si>
    <t xml:space="preserve">	NEXT SOLUCOES INTEGRADAS LTDA/	39757934000108</t>
  </si>
  <si>
    <t>90035/2024</t>
  </si>
  <si>
    <t xml:space="preserve">	986563 - PREFEITURA MUNICIPAL DE ITAQUAQUECETUBA - SP</t>
  </si>
  <si>
    <t xml:space="preserve">	FUNCIONAL TECHNOLOGICAL GARMENT LTDA/	02777319000153</t>
  </si>
  <si>
    <t>www.jariomilitar.com.br</t>
  </si>
  <si>
    <t>JA RIO MILITAR - 45.284.394/0001-95</t>
  </si>
  <si>
    <t>www.gmtatico.com.br</t>
  </si>
  <si>
    <t xml:space="preserve"> G.M. TATICO - 19.099.351/0001-20</t>
  </si>
  <si>
    <t>549.00</t>
  </si>
  <si>
    <t>www.guerramil.com.br</t>
  </si>
  <si>
    <t xml:space="preserve">GUERRA ARTIGOS MILITARES LTDA - 26.608.753/0001-78 </t>
  </si>
  <si>
    <t>CALÇA</t>
  </si>
  <si>
    <t xml:space="preserve">	90035/2024</t>
  </si>
  <si>
    <t xml:space="preserve">	FUNCIONAL TECHNOLOGICAL GARMENT LTDA</t>
  </si>
  <si>
    <t>90022/2024</t>
  </si>
  <si>
    <t xml:space="preserve">	05/02/2025</t>
  </si>
  <si>
    <t xml:space="preserve">	458785 - EES-INSTITUTO DE DEFESA AGROPEC.E FLORESTAL</t>
  </si>
  <si>
    <t xml:space="preserve">	INFINITI EMPREENDIMENTOS LTDA/	23829339000109</t>
  </si>
  <si>
    <t>www.lojadomilitar.com</t>
  </si>
  <si>
    <t>LM MILITAR LTDA - 50.089.214/0001-54</t>
  </si>
  <si>
    <t>www.vigilanteshop.com.br</t>
  </si>
  <si>
    <t>VIGILANTE SHOP COMERCIO D EPRODUTOS DE SEGURANÇA LTDA - 97.553.284/0001-85</t>
  </si>
  <si>
    <t>www.botaparanda.com.br</t>
  </si>
  <si>
    <t>BOTAPARANDA -  23.745.431/0001-82</t>
  </si>
  <si>
    <t>www.lojawwart.com.br</t>
  </si>
  <si>
    <t>WWART TACTICAL COMERCIO DE EQUIPAMENTOS LTDA - EPP - 31.905.587/0001-01</t>
  </si>
  <si>
    <t>CAMISA MANGA CURTA</t>
  </si>
  <si>
    <t xml:space="preserve">	90352/2024</t>
  </si>
  <si>
    <t xml:space="preserve">	986249 - PREFEITURA MUNICIPAL DE BOTUCATU</t>
  </si>
  <si>
    <t xml:space="preserve">	LM COMERCIAL UNIFORMES MILITARES LTDA</t>
  </si>
  <si>
    <t>90024/2024</t>
  </si>
  <si>
    <t xml:space="preserve">	06/01/2025</t>
  </si>
  <si>
    <t xml:space="preserve">	PETTER UNIFORMES LTDA</t>
  </si>
  <si>
    <t>www.invictus.com.br</t>
  </si>
  <si>
    <t>UNIÃO SUPRIMENTOS MILITARES LTDA - 13.992.333/0001-96</t>
  </si>
  <si>
    <t>BOTA TÁTICA</t>
  </si>
  <si>
    <t xml:space="preserve">	90059/2024</t>
  </si>
  <si>
    <t xml:space="preserve">	990192 - ESP-GABINETE DO GOV CASA MILITAR</t>
  </si>
  <si>
    <t xml:space="preserve">	VIVIAN MARA MARCONDES &amp; CIA LTDA /08827377000120</t>
  </si>
  <si>
    <t>90066/2024</t>
  </si>
  <si>
    <t xml:space="preserve">	456199 - ETO - INSTITUTO NATUREZA DO TOCANTINS</t>
  </si>
  <si>
    <t xml:space="preserve">	54.117.779 MILENA DA SILVA FREITAS</t>
  </si>
  <si>
    <t xml:space="preserve">	194019 - COORD.REGIONAL DE MG/ES</t>
  </si>
  <si>
    <t>POWERFULL SOLUCOES LTDA/ 	51523859000116</t>
  </si>
  <si>
    <t>www.franboots.com</t>
  </si>
  <si>
    <t>FRANBOOTS CALCADOS - 34.445.592/0001</t>
  </si>
  <si>
    <t>www.lojakallucci.com.br</t>
  </si>
  <si>
    <t>SAPATO AVENTURA FRANCA LTDA - 40.212.293/0001-95</t>
  </si>
  <si>
    <t>www.rafalecalcados.com.br</t>
  </si>
  <si>
    <t>RAFAEL CALÇADOS - 32.071.080/0001-62</t>
  </si>
  <si>
    <t>www.acerobotasloja.com.br</t>
  </si>
  <si>
    <t>ACERO BOTAS - 12.998.143/0001-13</t>
  </si>
  <si>
    <t>MEIAS</t>
  </si>
  <si>
    <t>90027/2024</t>
  </si>
  <si>
    <t xml:space="preserve">	04/02/2025</t>
  </si>
  <si>
    <t xml:space="preserve">	980788 - PREFEITURA MUNICIPAL DE TANGUA - RJ</t>
  </si>
  <si>
    <t xml:space="preserve">	ALN EMPIRE COMERCIO E SERVICOS LTDA/ 	38477034000144</t>
  </si>
  <si>
    <t>LM COMERCIAL UNIFORMES MILITARES LTDA/48872983000182</t>
  </si>
  <si>
    <t xml:space="preserve">	90046/2024</t>
  </si>
  <si>
    <t xml:space="preserve">	08/01/2025</t>
  </si>
  <si>
    <t xml:space="preserve">	981661 - PREFEITURA MUNICIPAL DE CURRAIS NOVOS - RN</t>
  </si>
  <si>
    <t xml:space="preserve">	JRT CONFECCOES LTDA/ 	37263831000166</t>
  </si>
  <si>
    <t>www.saojorge.com.br</t>
  </si>
  <si>
    <t>DEPÓSITO DE MEIAS SÃO JORGE - 62.262.746/0001-20</t>
  </si>
  <si>
    <t>www.centauro.com.br</t>
  </si>
  <si>
    <t>GRUPO SBF ARTIGOS ESPORTIVOS CENTAURO - 06.347.409/0001-65</t>
  </si>
  <si>
    <t>www.lupo.com.br</t>
  </si>
  <si>
    <t>LUPO S.A. - 43.948.405/0001-69</t>
  </si>
  <si>
    <t>www.olympikus.com.br</t>
  </si>
  <si>
    <t>OLYMPIKUS PRO SPORTS LTDA - 01.119.773/0001-54</t>
  </si>
  <si>
    <t>www.posthaus.com.br</t>
  </si>
  <si>
    <t>POSTHAUS LTDA - 80.462.138/0001-41</t>
  </si>
  <si>
    <t>QUEPE OU BONÉ COM EMPLEMA</t>
  </si>
  <si>
    <t xml:space="preserve">	90237/2024</t>
  </si>
  <si>
    <t xml:space="preserve">	13/01/2025</t>
  </si>
  <si>
    <t xml:space="preserve">	988599 - PREFEITURA MUNICIPAL DE CAXIAS DO SUL/RS</t>
  </si>
  <si>
    <t xml:space="preserve">	O.J. DO NASCIMENTO - UNIFORMES/14960635000145</t>
  </si>
  <si>
    <t xml:space="preserve">	90004/2024</t>
  </si>
  <si>
    <t xml:space="preserve">	09/01/2025</t>
  </si>
  <si>
    <t>160108 - 12 BATALHAO DE INFANTARIA</t>
  </si>
  <si>
    <t xml:space="preserve">	GILSON VITORINO JUNIOR/	38381807000194</t>
  </si>
  <si>
    <t>90014/2024</t>
  </si>
  <si>
    <t xml:space="preserve">	982869 - PREFEITURA MUNICIPAL SAO LUIS DO QUITUNDE-AL</t>
  </si>
  <si>
    <t xml:space="preserve">	CONLIC'S COMERCIAL LTDA</t>
  </si>
  <si>
    <t xml:space="preserve"> G.M. TÁTICO - 19.099.351/0001-20</t>
  </si>
  <si>
    <t>www.forhonor</t>
  </si>
  <si>
    <t>VL EQUIPAMENTOS LTDA - 38.217.374/0001-36</t>
  </si>
  <si>
    <t>www.alphabravoequipamentos.com.br</t>
  </si>
  <si>
    <t>ALPHA BRAVO EQUIPAMENTOS TÁTICOS - 41.587.035/0001-56</t>
  </si>
  <si>
    <t>www.dispropil.com.br</t>
  </si>
  <si>
    <t>V N ESPORTES LTDA - EPP - 18.244.281/0001-93</t>
  </si>
  <si>
    <t>JAQUETA OU JAPONA PARA FRIO</t>
  </si>
  <si>
    <t xml:space="preserve">	90075/2024</t>
  </si>
  <si>
    <t xml:space="preserve">	168005 - INDUSTRIA DE MATERIAL BELICO DO BRASIL/FI</t>
  </si>
  <si>
    <t xml:space="preserve">	PROSAFE INDUSTRIA E COMERCIO DE ROUPAS PROFISSIONAIS LTDA./	12483493000147</t>
  </si>
  <si>
    <t xml:space="preserve">	926079 - PMSP - SECRETARIA MUNICIPAL SEGURANÇA URBANA</t>
  </si>
  <si>
    <t xml:space="preserve">	ARTE CAMISETAS LTDA/ 97371090000169</t>
  </si>
  <si>
    <t xml:space="preserve">	LUIZ TADEO DAMASCHI/ 	01424128000145</t>
  </si>
  <si>
    <t>www.wolfattack.com.br</t>
  </si>
  <si>
    <t>WOLF ATTACK EQUIPAMENTOS TATICOS, IMPORTACAO E EXPORTACAO LTDA - 40.240.024/0001-32</t>
  </si>
  <si>
    <t>www.produtgy.com.br</t>
  </si>
  <si>
    <t>PRODUTGY NEGÓCIOS DIGITAIS LTDA - 48.112.439/0001-32</t>
  </si>
  <si>
    <t xml:space="preserve">APARELHO CELULAR OU SIMILAR </t>
  </si>
  <si>
    <t xml:space="preserve">	90057/2024</t>
  </si>
  <si>
    <t xml:space="preserve">	985821 - PREFEITURA MUNICIPAL DE CANTAGALO - RJ</t>
  </si>
  <si>
    <t xml:space="preserve">	MW NEGOCIOS LTDA/ 	45862764000124</t>
  </si>
  <si>
    <t xml:space="preserve">	90070/2024</t>
  </si>
  <si>
    <t>984767 - PREFEITURA MUNICIPAL DE LEOPOLDINA - MG</t>
  </si>
  <si>
    <t xml:space="preserve">	LICITEC DISTRIBUIDORA LTDA/ 	47208666000101</t>
  </si>
  <si>
    <t>www.gazin.com.br</t>
  </si>
  <si>
    <t>GAZIN S.A. - 77.941.490/0001-55</t>
  </si>
  <si>
    <t>www.kabum.com.br</t>
  </si>
  <si>
    <t>KABUM COMÉRCIO ELETRÔNICO S.A. - 05.570.714/0001-59</t>
  </si>
  <si>
    <t>www.carrefour.com.br</t>
  </si>
  <si>
    <t>CARREFOUR COMÉRICO E INDÚSTRIA LTDA - 45.543.915/0001-81</t>
  </si>
  <si>
    <t>www.americanas.com.br</t>
  </si>
  <si>
    <t>AMERICANAS S.A. - 33.014.556/0001-96</t>
  </si>
  <si>
    <t>www.store.vivo.com.br</t>
  </si>
  <si>
    <t>TELEFÔNICA BRASIL S.A. - 02.558.157/0001-62</t>
  </si>
  <si>
    <t>RÁDIOS UHF ("TIPO WALKIE-TALKIE")</t>
  </si>
  <si>
    <t xml:space="preserve">	03/02/2025</t>
  </si>
  <si>
    <t xml:space="preserve">	257041 - DISTRITO SANIT.ESP.INDÍGENA - XINGU</t>
  </si>
  <si>
    <t>MF LAN NEGOCIOS LTDA /34982586000159</t>
  </si>
  <si>
    <t xml:space="preserve">	90006/2024</t>
  </si>
  <si>
    <t>160085 - ESTADO-MAIOR DO EXERCITO-MEX/DF</t>
  </si>
  <si>
    <t>DISAC COMERCIAL E SERVICOS LTDA /23879002000106</t>
  </si>
  <si>
    <t>www.loja.intelbras.com.br</t>
  </si>
  <si>
    <t>INTELBRAS S.A. INDUSTRIA DE TELECOMUNICACAO ELETRONICA BRASILEIRA - 82.901.000/0001-27</t>
  </si>
  <si>
    <t>www.eletronicasantana.com.br</t>
  </si>
  <si>
    <t>ELETRÔNICO SANTANA LTDA - 60.717.899/0001-90</t>
  </si>
  <si>
    <t>www.amazon.com.br</t>
  </si>
  <si>
    <t>AMAZON SERVIÇOS DE VAREJO DO BRASIL LTDA - 15.436.940/0004-48</t>
  </si>
  <si>
    <t>SISTEMA DE RONDA ELETRONICO - 1 BASTÃO E 16 PONTOS</t>
  </si>
  <si>
    <t xml:space="preserve">	00005/2023</t>
  </si>
  <si>
    <t xml:space="preserve">	18/06/2024</t>
  </si>
  <si>
    <t>160250 - 1 BATALHAO DE COMUNICACOES DIVISIONARIO/RS</t>
  </si>
  <si>
    <t xml:space="preserve">	51.943.479 ANDERSON LIXINSKI DALENOGARE</t>
  </si>
  <si>
    <t xml:space="preserve">	90200/2024</t>
  </si>
  <si>
    <t xml:space="preserve">	29/11/2024</t>
  </si>
  <si>
    <t xml:space="preserve">	795400 - BATALHAO DE OPERACOES ESPECIAIS DE FN</t>
  </si>
  <si>
    <t xml:space="preserve">	LUTHOR COMERCIO LTDA /	48040995000140</t>
  </si>
  <si>
    <t>www.lojadoponto.com.br</t>
  </si>
  <si>
    <t xml:space="preserve"> LOJADOPONTO TECNOLOGIA EIRELI - ME - 27.283673/0001-52</t>
  </si>
  <si>
    <t>www.lccontrol.mercadoshops.com.br</t>
  </si>
  <si>
    <t xml:space="preserve"> L.C CONTROL LTDA - ME - 49.623.735/0001-60</t>
  </si>
  <si>
    <t>www.byponto.com.br</t>
  </si>
  <si>
    <t>BYPONTO CONTROLE E TECNOLOGIA - 26.813.654/0001-28</t>
  </si>
  <si>
    <r>
      <rPr>
        <sz val="8"/>
        <color rgb="FF000000"/>
        <rFont val="Arial"/>
        <family val="2"/>
      </rPr>
      <t xml:space="preserve">SISTEMA DE RONDA ELETRONICO - 1 BASTÃO E </t>
    </r>
    <r>
      <rPr>
        <b/>
        <sz val="8"/>
        <color rgb="FF000000"/>
        <rFont val="Arial"/>
        <family val="2"/>
      </rPr>
      <t>5 PONTOS</t>
    </r>
  </si>
  <si>
    <t>RELÓGIO DE PONTO ELETRÔNICO</t>
  </si>
  <si>
    <t xml:space="preserve">	90092/2024</t>
  </si>
  <si>
    <t xml:space="preserve">	17/01/2025</t>
  </si>
  <si>
    <t xml:space="preserve">	987971 - PREFEITURA MUNICIPAL DE SANTA HELENA - PR</t>
  </si>
  <si>
    <t xml:space="preserve">	KPERCON SISTEMAS DE PONTO E CONTROLE DE ACESSO LTDA
	39874252000185</t>
  </si>
  <si>
    <t xml:space="preserve">	926552 - PREFEITURA MUNICIPAL DE JACAREZINHO/PR</t>
  </si>
  <si>
    <t xml:space="preserve">	CLAUDIO SEIDI NONACA 03304335000191</t>
  </si>
  <si>
    <t>www.canalautomacao.com.br</t>
  </si>
  <si>
    <t xml:space="preserve"> CANAL AUTOMACAO LTDA - EPP - 17.235.480/0001-72</t>
  </si>
  <si>
    <t>CASSETETE/BASTÃO</t>
  </si>
  <si>
    <t xml:space="preserve">			90030/2024</t>
  </si>
  <si>
    <t xml:space="preserve">			22/01/2025</t>
  </si>
  <si>
    <t xml:space="preserve">		200331 - SECRETARIA NACIONAL DE SEGURANCA PUBLICA</t>
  </si>
  <si>
    <t xml:space="preserve">	A M M CORREA 	/	53169506000195</t>
  </si>
  <si>
    <t xml:space="preserve">		31/01/2025</t>
  </si>
  <si>
    <t xml:space="preserve">		160204 - 25 BATALHAO DE CACADORES 	COMANDO DO EXERCITO</t>
  </si>
  <si>
    <t xml:space="preserve">		GRIFO QAP COMERCIO VAREJISTA DE ROUPAS E ARTIGOS ESPORTIVOS LTDA/	27495602000113</t>
  </si>
  <si>
    <t>BOTAPARANDA - 23.745.431/0001-82 </t>
  </si>
  <si>
    <t>www.estilotaticoloja.mercadoshops.com.br</t>
  </si>
  <si>
    <t>ESTILO TÁTICO COMÉRCIO DE PRODUTOS DE SEGURANÇA LTDA - 81.702.730/0001-36</t>
  </si>
  <si>
    <t>www.militarbrasil.com.br</t>
  </si>
  <si>
    <t>L. R. C. CONFECÇÕES - 05.164.345/0001-02</t>
  </si>
  <si>
    <t>PORTA CASSETETE/TONFA</t>
  </si>
  <si>
    <t>160204 - 25 BATALHAO DE CACADORES</t>
  </si>
  <si>
    <t>MARCA D'AGUA LTDA/	64377518000121</t>
  </si>
  <si>
    <t xml:space="preserve">		05/02/2025</t>
  </si>
  <si>
    <t>160512 - MEX-20REGIMENTO DE CAVALARIA BLINDADO/MS</t>
  </si>
  <si>
    <t>L. R. C. CONFECÇÕES LTDA - 05.164.345/0001-02</t>
  </si>
  <si>
    <t>APITO</t>
  </si>
  <si>
    <t xml:space="preserve">		90002/2024</t>
  </si>
  <si>
    <t xml:space="preserve">	28/01/2025</t>
  </si>
  <si>
    <t xml:space="preserve">	160175 - ADMINISTRATIVA DA GUARNICÃO DE JOÃO PESSOA</t>
  </si>
  <si>
    <t>CRH EQUIPAMENTOS DE SEGURANCA LTDA/		14566765000106</t>
  </si>
  <si>
    <t xml:space="preserve">		16/01/2025</t>
  </si>
  <si>
    <t>929372 - ETO-ASSOCIAÇÃO A.E.E.C.G.JESUS DE CARR BONITO</t>
  </si>
  <si>
    <t xml:space="preserve">	LAZARO BEZERRA SOARES/ 	06088333000109</t>
  </si>
  <si>
    <t xml:space="preserve">	90008/2024</t>
  </si>
  <si>
    <t>929060 - ASSOCIAÇAO A.E.E.JOSE A.DE ASSIS/CASEARA/TO/</t>
  </si>
  <si>
    <t xml:space="preserve">	START COMERCIO DE ARTIGOS ESPORTIVOS LTDA/	49912909000105</t>
  </si>
  <si>
    <t>www.almoxmilitar.com.br</t>
  </si>
  <si>
    <t>ALMOX MILITAR EQUIPAMENTOS TÁTICOS E MILITARES LTDA - 32.421.247/0001-78</t>
  </si>
  <si>
    <t>www.milicopadrao.com.br</t>
  </si>
  <si>
    <t>MILICO PADRÃO COM DE ART MILIT LTDA - 39.497.747/0001-32</t>
  </si>
  <si>
    <t>www.digaspi.com.br</t>
  </si>
  <si>
    <t>COMÉRCIO ELETRÔNICO DI GASPI LTDA - 39.254.739/0003-27</t>
  </si>
  <si>
    <t>CORDÃO DE APITO</t>
  </si>
  <si>
    <t>www.loja.niorysport.com</t>
  </si>
  <si>
    <t>NIORY SPORT INDÚSTRIA E COMÉRCIO DE ARTIGOS ESPORTIVOS LTDA - 50.399.095/0001-36</t>
  </si>
  <si>
    <t>BOTAPARANDA ARTIGOS MILITARES - 23.745.431/0001-82</t>
  </si>
  <si>
    <t>VIGILANTE SHOP COMÉRCIO DE PRODUTOS DE SEGURANÇA LTDA - 97.553.284/0001-85</t>
  </si>
  <si>
    <t>www.magazineluiza.com.br</t>
  </si>
  <si>
    <t>MAGAZINE LUIZA S. A. - 47.960.950/0001-21</t>
  </si>
  <si>
    <t>LANTERNA RECARREGÁVEL ACIMA DE 12 LEDS</t>
  </si>
  <si>
    <t xml:space="preserve">	90009/2024</t>
  </si>
  <si>
    <t xml:space="preserve">			16/01/2025</t>
  </si>
  <si>
    <t xml:space="preserve">		257049 - DISTRITO SANIT.ESP.INDÍGENA - PORTO VELHO</t>
  </si>
  <si>
    <t xml:space="preserve">		IMPORTEC INFORMATICA E SUPRIMENTOS LTDA/		12710145000165</t>
  </si>
  <si>
    <t xml:space="preserve">	90028/2024</t>
  </si>
  <si>
    <t xml:space="preserve">			20/01/2025</t>
  </si>
  <si>
    <t xml:space="preserve">	160343 - 7 BATALHAO DE ENGENHARIA DE COMBATE</t>
  </si>
  <si>
    <t xml:space="preserve">	DOIS K COMERCIO E SERVICOS LTDA/ 30843402000119</t>
  </si>
  <si>
    <t>www.lojapramil.com.br</t>
  </si>
  <si>
    <t>BAZAR F S PRAMIL LTDA - 05.394.216/0001-00 </t>
  </si>
  <si>
    <t>UNIÃO SUIPRIMENTOS MILITARES LTDA - 13.992.333/0001-96</t>
  </si>
  <si>
    <t>www.camagli.com.br</t>
  </si>
  <si>
    <t>CAMAGLI NEGÓCIOS DIGITAIS LTDA - 49.359.183/0001-25</t>
  </si>
  <si>
    <t>LIVRO DE OCORRÊNCIA</t>
  </si>
  <si>
    <t xml:space="preserve">	90141/2024</t>
  </si>
  <si>
    <t xml:space="preserve">	30/01/2025</t>
  </si>
  <si>
    <t xml:space="preserve">		985867 - PREFEITURA MUNICIPAL DE NOVA FRIBURGO - RJ</t>
  </si>
  <si>
    <t xml:space="preserve">	M&amp;M COMERCIAL E DISTRIBUIDORA LTDA/	  	52672868000131</t>
  </si>
  <si>
    <t xml:space="preserve">	90112/2024</t>
  </si>
  <si>
    <t xml:space="preserve">		987871 - PREFEITURA MUNICIPAL DE SAO JOAO - PR</t>
  </si>
  <si>
    <t xml:space="preserve">		BELINKI &amp; SOUZA LTDA/	08831603000147</t>
  </si>
  <si>
    <t>www.kalunga.com.br</t>
  </si>
  <si>
    <t>KALUNGA S. A. - 43.283.811/0001-50</t>
  </si>
  <si>
    <t>www.oceanob2b.com</t>
  </si>
  <si>
    <t xml:space="preserve">OCEANO B2B - 03.746.938/0013-87 </t>
  </si>
  <si>
    <t>CANETA</t>
  </si>
  <si>
    <t xml:space="preserve">		90005/2024</t>
  </si>
  <si>
    <t xml:space="preserve">		926526 - CONSELHO REGIONAL DE ENFERMANGEM - RN</t>
  </si>
  <si>
    <t>BH BRINDES E SERVICOS LTDA/ 	45802500000185</t>
  </si>
  <si>
    <t xml:space="preserve">			90011/2024</t>
  </si>
  <si>
    <t xml:space="preserve">		29/01/2025</t>
  </si>
  <si>
    <t xml:space="preserve">	L.O.C COMERCIO E DISTRIBUICAO DE PRODUTOS LTDA/    40930251000190</t>
  </si>
  <si>
    <t>www.acasadasartes.com.br</t>
  </si>
  <si>
    <t>CULTURA ARTE COMÉRCIO MATERIAIS ARTÍSTICOS LTDA - 06.211.640/0001-27</t>
  </si>
  <si>
    <t>COLETE BALÍSTICO</t>
  </si>
  <si>
    <t xml:space="preserve">	00124/2023</t>
  </si>
  <si>
    <t xml:space="preserve">	05/02/2024</t>
  </si>
  <si>
    <t xml:space="preserve">	987563 - PREFEITURA MUNICIPAL DE FOZ DO IGUAÇU - PR</t>
  </si>
  <si>
    <t>TAMTEX CONFECCAO E COMERCIO DE MALHAS LTDA 05704791000154</t>
  </si>
  <si>
    <t xml:space="preserve">	00002/2023</t>
  </si>
  <si>
    <t xml:space="preserve">		04/03/2024</t>
  </si>
  <si>
    <t xml:space="preserve">	200331 - SECRETARIA NACIONAL DE SEGURANCA PUBLICA</t>
  </si>
  <si>
    <t xml:space="preserve">	GLAGIO DO BRASIL PROTECAO BALISTICA LTDA 	66260415000102.</t>
  </si>
  <si>
    <t xml:space="preserve">	925129 - PROCURADORIA GERAL DE JUSTIÇA DO MARANHÃO</t>
  </si>
  <si>
    <t>GLAGIO DO BRASIL PROTECAO BALISTICA LTDA 66260415000102.</t>
  </si>
  <si>
    <t>www.crhequipamentos.com.br</t>
  </si>
  <si>
    <t>CRH EQUIPAMENTOS DE SEGURANÇA LTDA - 14.566.765/0001-06</t>
  </si>
  <si>
    <t>www.comercialnativa.com.br</t>
  </si>
  <si>
    <t>COMERCIAL NATIVA NEGÓCIOS E REPRESENTAÇÕES LTDA - 14.310.278/0001-70</t>
  </si>
  <si>
    <t>REVOLVER/PISTOLA CALIBRE 38</t>
  </si>
  <si>
    <t xml:space="preserve">	90016/2024</t>
  </si>
  <si>
    <t xml:space="preserve">		29/10/2024</t>
  </si>
  <si>
    <t>984625 - PREFEITURA MUNICIPAL DE IPATINGA - MG</t>
  </si>
  <si>
    <t xml:space="preserve">		ZAHAV ARMAS E MUNICOES IMPORTACOES LTDA/ 44530515000179</t>
  </si>
  <si>
    <t xml:space="preserve">	90277/2024</t>
  </si>
  <si>
    <t xml:space="preserve">		30/12/2024</t>
  </si>
  <si>
    <t xml:space="preserve">		987691 - PREFEITURA MUNICIPAL DE MARINGA - PR</t>
  </si>
  <si>
    <t xml:space="preserve">	PUMA ARTIGOS DE SEGURANCA LTDA/LTDA/ 26953149000189</t>
  </si>
  <si>
    <t>www.lojaskclube.com</t>
  </si>
  <si>
    <t>SK COMÉRCIO VAREJISTA DE ARMAS E ACESSÓRIOS LTDA - 00.579.544/0001-50</t>
  </si>
  <si>
    <t>www.loja.ponto40clube.com.br</t>
  </si>
  <si>
    <t>CLUBE DE TIRO PONTO 40 - 14.476.377/0001-26</t>
  </si>
  <si>
    <t>www.armamentosbrasil.com</t>
  </si>
  <si>
    <t>MABRA MUNICOES E ARMAMENTOS DO BRASIL LTDA - ME - 36.480.339/0001-80</t>
  </si>
  <si>
    <t>www.gunshopbrasil.com</t>
  </si>
  <si>
    <t>GUNSHOP BRASIL COMÉRCIO DE ARMAS E MUNIÇÕES LTDA - ME - 42.893.877/0001-07</t>
  </si>
  <si>
    <t>MUNIÇÃO PARA REVÓLVER CALIBRE 38</t>
  </si>
  <si>
    <t>www.prohunters.com.br</t>
  </si>
  <si>
    <t>PRO HUNTERS COMÉRCIO DE IMPORTAÇÃO E EXPORTAÇÃO LTDA - 12.304.207/0001-39</t>
  </si>
  <si>
    <t>www.armas.beartac.com.br</t>
  </si>
  <si>
    <t>BEAR TACTICAL ARTIGOS ESPORTIVOS LTDA - 00.274.331/0001-10</t>
  </si>
  <si>
    <t>www.loja.gassentiro.com.br</t>
  </si>
  <si>
    <t>ESCOLA DE TIRO GASSEN LTDA - 36.242.575/0001-68</t>
  </si>
  <si>
    <t>CINTO DE COLDRE COM BALEIRO</t>
  </si>
  <si>
    <t xml:space="preserve">	90083/2024</t>
  </si>
  <si>
    <t>120624 - BASE AÉREA DE ANÁPOLIS</t>
  </si>
  <si>
    <t xml:space="preserve">	AKILA PRIME COMERCIO E SERVICOS LTDA/ 	30775478000154</t>
  </si>
  <si>
    <t xml:space="preserve">	160108 - 12 BATALHAO DE INFANTARIA</t>
  </si>
  <si>
    <t xml:space="preserve">	52.252.575 TATIANE BOLIVAR SILVA SANTOS</t>
  </si>
  <si>
    <t>WWART TACTICAL COMÉRCIO DE EQUIPAMENTOS LTDA - EPP - 31.905.587/0001-01</t>
  </si>
  <si>
    <t>www.ftmilitar.com.br</t>
  </si>
  <si>
    <t>INSTITUTO FORÇA PRÉ MILITAR NACIONAL LTDA - ME - 45.573.861/0001-05.</t>
  </si>
  <si>
    <t>CAPA DE CHUVA</t>
  </si>
  <si>
    <t xml:space="preserve">	980637 - PREFEITURA MUNICIPAL DE TERRA SANTA - PA</t>
  </si>
  <si>
    <t>VALDIR DIVINO /	03977300000113</t>
  </si>
  <si>
    <t xml:space="preserve">	90041/2024</t>
  </si>
  <si>
    <t>120071 - CENTRO LOGISTICO DA AERONAUTICA</t>
  </si>
  <si>
    <t>COMERCIAL DE EMBALAGENS SERVICOS HIGIENE E LIMPEZA LTDA/ 30046594000132</t>
  </si>
  <si>
    <t>www.superepi.com.br</t>
  </si>
  <si>
    <t xml:space="preserve">SUPER EPI EQUIPAMENTOS DE PROTECAO INDIVIDUAL LTDA. - EPP - 26.588.821/0002-65. </t>
  </si>
  <si>
    <t>www.astrodistribuidora.com</t>
  </si>
  <si>
    <t xml:space="preserve">ASTRO DISTRIBUIDORA LTDA - 18.597.685/0001-60 </t>
  </si>
  <si>
    <t>BOTAS PARA CHUVA</t>
  </si>
  <si>
    <t xml:space="preserve">	90079/2024</t>
  </si>
  <si>
    <t xml:space="preserve">	08/11/2024</t>
  </si>
  <si>
    <t xml:space="preserve">	41.912.954 RAFAELA LAURIANO CANALLE</t>
  </si>
  <si>
    <t>180160 - ESP-COMANDO POLIC.INT.-5 SJRIO PRETO/ 	41912954000158</t>
  </si>
  <si>
    <t xml:space="preserve">	90098/2024</t>
  </si>
  <si>
    <t xml:space="preserve">	17/12/2024</t>
  </si>
  <si>
    <t xml:space="preserve">	984643 - PREFEITURA MUNICIPAL DE ITAGUARA - MG</t>
  </si>
  <si>
    <t xml:space="preserve">	TEM SUPERMERCADO LTDA / 24360391000113</t>
  </si>
  <si>
    <t>www.dutramaquinas.com.br</t>
  </si>
  <si>
    <t>DUTRA MÁQUINAS COMERCIAL E TÉCNICA - 50.970.342/0006-17</t>
  </si>
  <si>
    <t>www.fg.com.br</t>
  </si>
  <si>
    <t>FERRAMENTAS GERAIS COMÉRCIO E IMPORTAÇÃO DE FERRAMENTAS E MÁQUINAS LTDA  - 92.664.028/0001-41</t>
  </si>
  <si>
    <t>www.leroymerlin.com.br</t>
  </si>
  <si>
    <t>LEROY MERLIN COMPANHIA BRASILEIRA DE BRICOLAGEM - 01.438.784/0001-05</t>
  </si>
  <si>
    <t xml:space="preserve">  SEGURO DE VIDA</t>
  </si>
  <si>
    <t xml:space="preserve">	00027/2023</t>
  </si>
  <si>
    <t xml:space="preserve">	05/07/2024</t>
  </si>
  <si>
    <t>974002 - EDF - SECRETARIA DE ESTADO DE ECONOMIA DO DF</t>
  </si>
  <si>
    <t xml:space="preserve">	BRASFORT EMPRESA DE SEGURANCA LTDA/	03497401000197</t>
  </si>
  <si>
    <t xml:space="preserve">	25/11/2024</t>
  </si>
  <si>
    <t xml:space="preserve">	974002 - EDF - SECRETARIA DE ESTADO DE ECONOMIA DO DF</t>
  </si>
  <si>
    <t>BRASILIA SEGURANCA S/A/ 	02730521000120</t>
  </si>
  <si>
    <t xml:space="preserve">	30/12/2024</t>
  </si>
  <si>
    <t xml:space="preserve">	420001 - SPOA/SE/MINC</t>
  </si>
  <si>
    <t xml:space="preserve">	VIPPIM SEGURANCA E VIGILANCIA LTDA /	11349160000167</t>
  </si>
  <si>
    <t xml:space="preserve">	22/10/2024</t>
  </si>
  <si>
    <t xml:space="preserve">	200208 - PROCURADORIA REGIONAL DA REPUBLICA-1A. REGIAO</t>
  </si>
  <si>
    <t>AGIL EMPRESA DE VIGILANCIA LTDA</t>
  </si>
  <si>
    <t xml:space="preserve">	18/10/2024</t>
  </si>
  <si>
    <t xml:space="preserve">	200008 - MINISTERIO PUBLICO MILITAR - DF</t>
  </si>
  <si>
    <t xml:space="preserve">	AC SEGURANCA LTDA</t>
  </si>
  <si>
    <t>QUADROS RESUMOS - UNIFORMES, MATERIAIS E EQUIPAMENTOS</t>
  </si>
  <si>
    <t>PREÇOS DE REFERÊNCIA - UNIFORME SEDE I</t>
  </si>
  <si>
    <t xml:space="preserve">DESCRIÇÃO </t>
  </si>
  <si>
    <t>VALOR UNIT</t>
  </si>
  <si>
    <t>QUANT ANUAL</t>
  </si>
  <si>
    <t>R$</t>
  </si>
  <si>
    <t>CAMISETA DE ALGODÃO DE MANGA CURTA</t>
  </si>
  <si>
    <t xml:space="preserve">GRAVATA </t>
  </si>
  <si>
    <t>CRACHÁ DE IDENTIFICAÇÃO</t>
  </si>
  <si>
    <t>CUSTO ANUAL ESTIMADO POR VIGILANTE</t>
  </si>
  <si>
    <t>CUSTO MENSAL ESTIMADO POR VIGILANTE</t>
  </si>
  <si>
    <t>PREÇOS DE REFERÊNCIA - UNIFORME SEDE II</t>
  </si>
  <si>
    <t xml:space="preserve">CALÇA </t>
  </si>
  <si>
    <t>CAMISA DE MANGA  CURTA</t>
  </si>
  <si>
    <t>CINTO DE NYLON</t>
  </si>
  <si>
    <t>QUEPE OU BONÉ COM EMBLEMA</t>
  </si>
  <si>
    <t>JAQUETA OU JAPONA PARA O FRIO</t>
  </si>
  <si>
    <t>PREÇOS DE REFERÊNCIA - EQUIPAMENTO - SEDE I</t>
  </si>
  <si>
    <t>QUANT.</t>
  </si>
  <si>
    <t>VIDA ÚTIL (meses)</t>
  </si>
  <si>
    <t>(A)</t>
  </si>
  <si>
    <t>(B)</t>
  </si>
  <si>
    <t xml:space="preserve">(C) </t>
  </si>
  <si>
    <t>[(A)/(C)]*(B)</t>
  </si>
  <si>
    <t>APARELHO CELULAR</t>
  </si>
  <si>
    <t>RÁDIO COMUNICADOR</t>
  </si>
  <si>
    <t>SISTEMA DE RONDA ELETRÔNICO - SEDE I (01 BASTÃO E 16 PONTOS MAGNÉTICOS)</t>
  </si>
  <si>
    <t xml:space="preserve">CUSTO TOTAL ESTIMADO </t>
  </si>
  <si>
    <t>PREÇOS DE REFERÊNCIA - EQUIPAMENTO - SEDE II</t>
  </si>
  <si>
    <t>SISTEMA DE RONDA ELETRÔNICO - SEDE II (01 BASTÃO E 05 PONTOS MAGNÉTICOS)</t>
  </si>
  <si>
    <t>CUSTO TOTAL ESTIMADO</t>
  </si>
  <si>
    <t>PREÇOS DE REFERÊNCIA - MATERIAL DE APOIO - SEDE I</t>
  </si>
  <si>
    <t>CASSETETE</t>
  </si>
  <si>
    <t>PORTA-CASSETETE</t>
  </si>
  <si>
    <t>LANTERNA RECARREGÁVEL mínimo 12 LEDs</t>
  </si>
  <si>
    <t>CUSTO TOTAL  ESTIMADO</t>
  </si>
  <si>
    <t>PREÇOS DE REFERÊNCIA - MATERIAL DE APOIO - SEDE II</t>
  </si>
  <si>
    <t>LANTERNA RECARREGÁVEL acima de 12 LEDS</t>
  </si>
  <si>
    <t>REVÓLVER/PIATOLA CALIBRE 38</t>
  </si>
  <si>
    <t>CINTO DE COLDRE C/ BALEIRO</t>
  </si>
  <si>
    <t>CUSTO TOTAL ANUAL ESTIMADO</t>
  </si>
  <si>
    <t xml:space="preserve"> TR 5.8.1 a item 1</t>
  </si>
  <si>
    <t xml:space="preserve"> TR 5.8.1 a item 2</t>
  </si>
  <si>
    <t xml:space="preserve"> TR 5.8.1 a item 3</t>
  </si>
  <si>
    <t xml:space="preserve"> TR 5.8.1 a item 4</t>
  </si>
  <si>
    <t xml:space="preserve"> TR 5.8.1 a item 5</t>
  </si>
  <si>
    <t xml:space="preserve"> TR 5.8.1 a item 6</t>
  </si>
  <si>
    <t xml:space="preserve"> TR 5.8.1 a item 7</t>
  </si>
  <si>
    <t>a depender do Plano de Segurança</t>
  </si>
  <si>
    <t xml:space="preserve"> TR 5.8.1 a item 8</t>
  </si>
  <si>
    <t xml:space="preserve"> TR 5.8.1 b item 1</t>
  </si>
  <si>
    <t xml:space="preserve"> TR 5.8.1 b item 2</t>
  </si>
  <si>
    <t xml:space="preserve"> TR 5.8.1 b item 3</t>
  </si>
  <si>
    <t xml:space="preserve"> TR 5.8.1 b item 4</t>
  </si>
  <si>
    <t xml:space="preserve"> TR 5.8.1 b item 5</t>
  </si>
  <si>
    <t xml:space="preserve"> TR 5.8.1 b item 6</t>
  </si>
  <si>
    <t xml:space="preserve"> TR 5.8.1 b item 7</t>
  </si>
  <si>
    <t xml:space="preserve"> TR 5.8.1 b item 8</t>
  </si>
  <si>
    <t xml:space="preserve"> TR 5.8.1 b item 9</t>
  </si>
  <si>
    <t xml:space="preserve"> TR 5.8.1 b item 10</t>
  </si>
  <si>
    <t xml:space="preserve"> TR 5.8.1 b item 11</t>
  </si>
  <si>
    <t>-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</si>
  <si>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</t>
    </r>
  </si>
  <si>
    <t>PREGÃO N.º ____/2024</t>
  </si>
  <si>
    <t>IN 05/2017/SEGES/MPDG - ANEXO VII-D</t>
  </si>
  <si>
    <t>PLANILHA DE CUSTOS E FORMAÇÃO DE PREÇOS</t>
  </si>
  <si>
    <t>Nº do Processo 00058.023630/2024-72</t>
  </si>
  <si>
    <t>Categoria profissional: Vigilante</t>
  </si>
  <si>
    <t>Discriminação dos Serviços</t>
  </si>
  <si>
    <t>A</t>
  </si>
  <si>
    <t>Data de apresentação da proposta</t>
  </si>
  <si>
    <t>B</t>
  </si>
  <si>
    <t>Município</t>
  </si>
  <si>
    <t>BRASILIA/DF</t>
  </si>
  <si>
    <t>C</t>
  </si>
  <si>
    <t>Ano do Acordo, Convenção ou Dissídio Coletivo</t>
  </si>
  <si>
    <t>SINDESV - DF000333/2024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</si>
  <si>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</si>
  <si>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</si>
  <si>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</si>
  <si>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</si>
  <si>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</si>
  <si>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</si>
  <si>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VIGILÂNCIA DIURNA 12 X 36 - Seg a Dom - ARMADA</t>
  </si>
  <si>
    <t>Posto</t>
  </si>
  <si>
    <t>Dados para composição dos custos referentes à mão-de-obra</t>
  </si>
  <si>
    <t>Tipo de serviço (mesmo serviço com características distintas)</t>
  </si>
  <si>
    <t>Vigilância Diurna 12x36 - Armada</t>
  </si>
  <si>
    <t>Classificação Brasileira de Ocupações (CBO)</t>
  </si>
  <si>
    <t>5173-30</t>
  </si>
  <si>
    <t>Salário Nominativo da Categoria Profissional</t>
  </si>
  <si>
    <t>Categoria profissional (vinculada à execução contratual)</t>
  </si>
  <si>
    <t>Vigilante</t>
  </si>
  <si>
    <t>Data base da categoria (dia/mês/ano)</t>
  </si>
  <si>
    <t>MÓDULO 1 - COMPOSIÇÃO DA REMUNERAÇÃO</t>
  </si>
  <si>
    <t>COMPOSIÇÃO DA REMUNERAÇÃO</t>
  </si>
  <si>
    <t>%</t>
  </si>
  <si>
    <t>VALOR (R$)</t>
  </si>
  <si>
    <t>Salário Base</t>
  </si>
  <si>
    <t xml:space="preserve"> "A" - Conforme piso salarial estabelecio na cláusula quarta, caput, da CCT DF000333/2024.</t>
  </si>
  <si>
    <t xml:space="preserve">Adicional Periculosidade </t>
  </si>
  <si>
    <t>"B" - Lei 12.740/2012 e Cláusula quarta, caput, da CCT DF000333/2024.</t>
  </si>
  <si>
    <t>Adicional Insalubridade</t>
  </si>
  <si>
    <t xml:space="preserve">Adicional Noturno </t>
  </si>
  <si>
    <t>E</t>
  </si>
  <si>
    <t xml:space="preserve">Adicional de Hora Noturna Reduzida </t>
  </si>
  <si>
    <t>F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</si>
  <si>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</si>
  <si>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</si>
  <si>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</si>
  <si>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</si>
  <si>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t xml:space="preserve">13 (Décimo-terceiro) salário </t>
  </si>
  <si>
    <t xml:space="preserve"> "A" - Conforme Lei nº 4.090/1962 e Art. 7º, inciso VIII da Constituição Federal de 1988. Percentual de provisão mensal: 1/12 = 8,33%</t>
  </si>
  <si>
    <t>Férias e Adicional de Férias  (Percentual obrigatório conforme Anexo XII - IN 5/17)</t>
  </si>
  <si>
    <t>"B" - Percentual de provisão mensal conforme Anexo XII da IN 05/17: férias: (1/11) = 0,09090 ≅ 9,075% | adicional: (1/3)/11 = 3,03% ≅ 3,025%</t>
  </si>
  <si>
    <t>TOTAL SUBMÓDULO 2.1</t>
  </si>
  <si>
    <t>Submódulo 2.2 - GPS, FGTS e Outras Contribuições</t>
  </si>
  <si>
    <t xml:space="preserve">INSS </t>
  </si>
  <si>
    <t>"A" - Fundamentação: art. 22, inciso I da Lei nº 8.212/91.</t>
  </si>
  <si>
    <t xml:space="preserve">Salário Educação </t>
  </si>
  <si>
    <t>"B" - Fundamentação: art. 3º, inciso I, do Decreto nº 87.043/82.</t>
  </si>
  <si>
    <t>SAT (Seguro Acidente de Trabalho)</t>
  </si>
  <si>
    <t>"C" - O SAT a depender do grau de risco do serviço irá variar entre 1% a 3%. O SAT pode ser multiplicado pelo FAP, que varia entre 0,5 e 2, fazendo com que este item da planilha possa varia entre 0,5 e 6,00%. Para fins de elaboração de preço de referência, usou-se o percentual intermediário de 3,00%.</t>
  </si>
  <si>
    <t>SESC ou SESI</t>
  </si>
  <si>
    <t>"D" - Fundamentação: art. 30 da Lei nº 8.036/90 e art. 1º da Lei nº 8.154/90.</t>
  </si>
  <si>
    <t xml:space="preserve">SENAI - SENAC </t>
  </si>
  <si>
    <t>"E"- Fundamentação: Decreto-Lei nº 2.318/86</t>
  </si>
  <si>
    <t xml:space="preserve">SEBRAE </t>
  </si>
  <si>
    <t>"F"- Fundamentação: Lei nº 8.029/90, alterada pela Lei nº 8.154/90.</t>
  </si>
  <si>
    <t>G</t>
  </si>
  <si>
    <t xml:space="preserve">INCRA </t>
  </si>
  <si>
    <t>"G"- Fundamentação: art. 1º, inciso I, do Decreto-Lei nº 1.146/70.</t>
  </si>
  <si>
    <t>H</t>
  </si>
  <si>
    <t xml:space="preserve">FGTS </t>
  </si>
  <si>
    <t>"H"- Fundamentação: art. 15 da Lei nº 8.036/90 e art. 7º, inciso III, da Constituição Federal de 1988.</t>
  </si>
  <si>
    <t>TOTAL SUBMÓDULO 2.2</t>
  </si>
  <si>
    <t>Submódulo 2.3 - Benefícios Mensais e Diários</t>
  </si>
  <si>
    <t>Transporte (R$ 5,50 x 2 x 15 )</t>
  </si>
  <si>
    <t>"A" - Foi considerado o valor da passagem de R$ 5,50, definido no inciso III do Art. 3º do Decreto nº 40.381/2020 do Distrito Federal. | Foram considerados 15 dias de trabalho no regime 12x36h</t>
  </si>
  <si>
    <t xml:space="preserve">Auxílio-Refeição/Alimentação [(R$ 47,37 - 0,94) x 15]  </t>
  </si>
  <si>
    <t xml:space="preserve">"B" - '- Conforme Cláusula décima segunda da CCT DF000333/2024 - Coparticipação de 2% vinculada à opção pelo PAT.				</t>
  </si>
  <si>
    <t>Assistência Médica</t>
  </si>
  <si>
    <t xml:space="preserve">"C" - '- Conforme Cláusula décima quarta da CCT DF000333/2024 - " O referido valor será repassado pelas empresas mensalmente.........com o objetivo de prover a assistência médica dos empregados pertencentes à base de representação do sindicato.		</t>
  </si>
  <si>
    <t>mitado ao quantitativo de profissionais contratados pelo tomador dos serviço</t>
  </si>
  <si>
    <t>Seguro de Vida</t>
  </si>
  <si>
    <t>"D"'- Conforme Cláusula décima quinta da CCT DF000333/2024 e inciso V, Art. 29, da Lei 14.967/2024</t>
  </si>
  <si>
    <t>Auxílio Odontológico</t>
  </si>
  <si>
    <t>"E"'- Conforme Cláusula décima sexta da CCT DF000333/2024 - não abrange todos os empregados</t>
  </si>
  <si>
    <t>Intervalo Intrajornada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</si>
  <si>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</si>
  <si>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</si>
  <si>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</si>
  <si>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</si>
  <si>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</si>
  <si>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</si>
  <si>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</si>
  <si>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</si>
  <si>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</si>
  <si>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</si>
  <si>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</si>
  <si>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</si>
  <si>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</si>
  <si>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Incidência do FGTS sobre Aviso Prévio Indenizado</t>
  </si>
  <si>
    <t xml:space="preserve">Aviso Prévio Trabalhado </t>
  </si>
  <si>
    <t>Incidência de GPS, FGTS e outras contribuições sobre o Aviso Prévio Trabalhado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</si>
  <si>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</si>
  <si>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</si>
  <si>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</si>
  <si>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</si>
  <si>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</si>
  <si>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</si>
  <si>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</si>
  <si>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</si>
  <si>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</si>
  <si>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</si>
  <si>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</si>
  <si>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</si>
  <si>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</si>
  <si>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</si>
  <si>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</si>
  <si>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</si>
  <si>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</si>
  <si>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</si>
  <si>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</si>
  <si>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</si>
  <si>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</si>
  <si>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</si>
  <si>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</si>
  <si>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 xml:space="preserve">Uniformes </t>
  </si>
  <si>
    <t>Materiais</t>
  </si>
  <si>
    <t>Equipamentos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</si>
  <si>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</si>
  <si>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</si>
  <si>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</si>
  <si>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</si>
  <si>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</si>
  <si>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</si>
  <si>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</si>
  <si>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PIS (Lucro Presumido)</t>
  </si>
  <si>
    <t>C.2</t>
  </si>
  <si>
    <t>COFINS (Lucro Presumido)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</si>
  <si>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</si>
  <si>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</si>
  <si>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</si>
  <si>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</si>
  <si>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</si>
  <si>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</si>
  <si>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</si>
  <si>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</si>
  <si>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</si>
  <si>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</si>
  <si>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</si>
  <si>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</si>
  <si>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</si>
  <si>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</si>
  <si>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PREÇO TOTAL POR POSTO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</si>
  <si>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</si>
  <si>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</si>
  <si>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</si>
  <si>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</si>
  <si>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</si>
  <si>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</si>
  <si>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</si>
  <si>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</si>
  <si>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</si>
  <si>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</si>
  <si>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</si>
  <si>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</si>
  <si>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</si>
  <si>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</si>
  <si>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</si>
  <si>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</si>
  <si>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</si>
  <si>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</si>
  <si>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TOTAL</t>
  </si>
  <si>
    <t>Nota(1):</t>
  </si>
  <si>
    <t>Informar o valor da unidade de medida por tipo de serviço.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</si>
  <si>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</si>
  <si>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</si>
  <si>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</si>
  <si>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VIGILÂNCIA NOTURNA 12 X 36 - Seg a Dom - ARMADA</t>
  </si>
  <si>
    <t>Vigilância Noturna 12x36 - armada</t>
  </si>
  <si>
    <t>Adicional Noturno [(SalBase+AdPeric)/220 x 20% x (7*15)]</t>
  </si>
  <si>
    <t>"D"'- CLT (art. 73, §§ 1º ao 5º) e Cláusula décima, CCT DF000333/2024.</t>
  </si>
  <si>
    <t>Adicional de Hora Noturna Reduzida (52 min e 30 s)</t>
  </si>
  <si>
    <t>"E"'- CLT (art. 73, §§ 1º ao 5º) e Cláusula décima, CCT DF000333/2024.</t>
  </si>
  <si>
    <t>(Total dos Módulos 1, 2, 3, 4 e 5+ Custos indiretos + lucro)= Po = ...................................</t>
  </si>
  <si>
    <t>VIGILÂNCIA DIURNA 12 X 36 - Seg a Dom - Desarmada</t>
  </si>
  <si>
    <t>Vigilância Diurna 12x36 - Desarmada</t>
  </si>
  <si>
    <t>fazer pesquisa preço</t>
  </si>
  <si>
    <t>VIGILÂNCIA NOTURNA 12 X 36 - Seg a Dom - Desarmada</t>
  </si>
  <si>
    <t>Vigilância Noturna 12x36 - Desarmada</t>
  </si>
  <si>
    <t>VIGILÂNCIA DIURNA 12 X 36 - Seg a Sex - Desarmada</t>
  </si>
  <si>
    <t>Transporte (R$ 5,50 x 2 x 11 )</t>
  </si>
  <si>
    <t>fator 11 dias</t>
  </si>
  <si>
    <t xml:space="preserve">Auxílio-Refeição/Alimentação [(R$ 47,37 - 0,94) x 11]  </t>
  </si>
  <si>
    <t>Item</t>
  </si>
  <si>
    <t>Unidade Medida</t>
  </si>
  <si>
    <t>Qtde</t>
  </si>
  <si>
    <r>
      <t xml:space="preserve">Vigilância </t>
    </r>
    <r>
      <rPr>
        <b/>
        <sz val="11"/>
        <color rgb="FF000000"/>
        <rFont val="Times New Roman"/>
        <family val="1"/>
      </rPr>
      <t>desarmada</t>
    </r>
    <r>
      <rPr>
        <sz val="11"/>
        <color rgb="FF000000"/>
        <rFont val="Times New Roman"/>
        <family val="1"/>
      </rPr>
      <t xml:space="preserve"> </t>
    </r>
    <r>
      <rPr>
        <b/>
        <sz val="11"/>
        <color rgb="FF000000"/>
        <rFont val="Times New Roman"/>
        <family val="1"/>
      </rPr>
      <t>diurna</t>
    </r>
    <r>
      <rPr>
        <sz val="11"/>
        <color rgb="FF000000"/>
        <rFont val="Times New Roman"/>
        <family val="1"/>
      </rPr>
      <t xml:space="preserve">, 12 x 36 horas, de </t>
    </r>
    <r>
      <rPr>
        <b/>
        <sz val="11"/>
        <color rgb="FF000000"/>
        <rFont val="Times New Roman"/>
        <family val="1"/>
      </rPr>
      <t>segunda a sexta-feira</t>
    </r>
    <r>
      <rPr>
        <sz val="11"/>
        <color rgb="FF000000"/>
        <rFont val="Times New Roman"/>
        <family val="1"/>
      </rPr>
      <t xml:space="preserve"> - Sede I</t>
    </r>
  </si>
  <si>
    <r>
      <t xml:space="preserve">Vigilância </t>
    </r>
    <r>
      <rPr>
        <b/>
        <sz val="11"/>
        <color rgb="FF000000"/>
        <rFont val="Times New Roman"/>
        <family val="1"/>
      </rPr>
      <t>desarmada diurna</t>
    </r>
    <r>
      <rPr>
        <sz val="11"/>
        <color rgb="FF000000"/>
        <rFont val="Times New Roman"/>
        <family val="1"/>
      </rPr>
      <t>, 12 x 36 horas, de segunda a domingo - Sede I</t>
    </r>
  </si>
  <si>
    <r>
      <t xml:space="preserve">Vigilância </t>
    </r>
    <r>
      <rPr>
        <b/>
        <sz val="11"/>
        <color rgb="FF000000"/>
        <rFont val="Times New Roman"/>
        <family val="1"/>
      </rPr>
      <t>desarmada noturna</t>
    </r>
    <r>
      <rPr>
        <sz val="11"/>
        <color rgb="FF000000"/>
        <rFont val="Times New Roman"/>
        <family val="1"/>
      </rPr>
      <t>, 12 x 36 horas, de segunda a domingo - Sede I</t>
    </r>
  </si>
  <si>
    <r>
      <t xml:space="preserve">Vigilância </t>
    </r>
    <r>
      <rPr>
        <b/>
        <sz val="11"/>
        <color rgb="FF000000"/>
        <rFont val="Times New Roman"/>
        <family val="1"/>
      </rPr>
      <t>armada diurna</t>
    </r>
    <r>
      <rPr>
        <sz val="11"/>
        <color rgb="FF000000"/>
        <rFont val="Times New Roman"/>
        <family val="1"/>
      </rPr>
      <t>, 12 x 36 horas, de segunda a domingo - Sede II</t>
    </r>
  </si>
  <si>
    <r>
      <t xml:space="preserve">Vigilância </t>
    </r>
    <r>
      <rPr>
        <b/>
        <sz val="11"/>
        <color rgb="FF000000"/>
        <rFont val="Times New Roman"/>
        <family val="1"/>
      </rPr>
      <t>armada noturna</t>
    </r>
    <r>
      <rPr>
        <sz val="11"/>
        <color rgb="FF000000"/>
        <rFont val="Times New Roman"/>
        <family val="1"/>
      </rPr>
      <t>, 12 x 36 horas, de segunda a domingo - Sede II</t>
    </r>
  </si>
  <si>
    <t>Custo por Posto</t>
  </si>
  <si>
    <t>CustoxPosto</t>
  </si>
  <si>
    <t>Atual</t>
  </si>
  <si>
    <t>TOTAL MENSAL</t>
  </si>
  <si>
    <t>TOTAL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</si>
</sst>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&quot; R$ &quot;#,##0.00\ ;&quot; R$ (&quot;#,##0.00\);&quot; R$ -&quot;#\ ;@\ "/>
    <numFmt numFmtId="166" formatCode="&quot;R$ &quot;#,##0.00_);[Red]\(&quot;R$ &quot;#,##0.00\)"/>
    <numFmt numFmtId="167" formatCode="0.0%"/>
    <numFmt numFmtId="168" formatCode="0.0000"/>
  </numFmts>
  <fonts count="46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7.7"/>
      <color theme="10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u/>
      <sz val="8"/>
      <color theme="10"/>
      <name val="Arial"/>
      <family val="2"/>
    </font>
    <font>
      <sz val="8"/>
      <color rgb="FF212121"/>
      <name val="Arial"/>
      <family val="2"/>
    </font>
    <font>
      <sz val="8"/>
      <color rgb="FF151617"/>
      <name val="Arial"/>
      <family val="2"/>
    </font>
    <font>
      <u/>
      <sz val="8"/>
      <name val="Arial"/>
      <family val="2"/>
    </font>
    <font>
      <b/>
      <sz val="8"/>
      <name val="Arial"/>
      <family val="2"/>
    </font>
    <font>
      <sz val="1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  <font>
      <sz val="8"/>
      <color theme="1"/>
      <name val="Arial "/>
    </font>
    <font>
      <b/>
      <sz val="11"/>
      <color theme="1"/>
      <name val="Calibri"/>
      <family val="2"/>
      <scheme val="minor"/>
    </font>
    <font>
      <sz val="12"/>
      <color rgb="FF000066"/>
      <name val="Verdana"/>
      <family val="2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i/>
      <sz val="11"/>
      <name val="Arial Nova"/>
      <family val="2"/>
    </font>
    <font>
      <i/>
      <sz val="11"/>
      <color theme="1"/>
      <name val="Arial Nov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theme="0" tint="-0.249977111117893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4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ill="0" applyBorder="0" applyAlignment="0" applyProtection="0"/>
    <xf numFmtId="0" fontId="1" fillId="0" borderId="0"/>
    <xf numFmtId="9" fontId="1" fillId="0" borderId="0" applyFill="0" applyBorder="0" applyAlignment="0" applyProtection="0"/>
    <xf numFmtId="0" fontId="1" fillId="0" borderId="0"/>
    <xf numFmtId="165" fontId="1" fillId="0" borderId="0"/>
    <xf numFmtId="0" fontId="18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9" borderId="23" applyNumberFormat="0" applyFont="0" applyAlignment="0" applyProtection="0"/>
  </cellStyleXfs>
  <cellXfs count="51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 applyProtection="1">
      <alignment horizontal="center" vertical="center" wrapText="1"/>
      <protection locked="0"/>
    </xf>
    <xf numFmtId="4" fontId="7" fillId="0" borderId="1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 applyProtection="1">
      <alignment horizontal="center" vertical="center"/>
      <protection locked="0"/>
    </xf>
    <xf numFmtId="10" fontId="7" fillId="0" borderId="0" xfId="0" applyNumberFormat="1" applyFont="1" applyAlignment="1" applyProtection="1">
      <alignment horizontal="center" vertical="center" wrapText="1"/>
      <protection locked="0"/>
    </xf>
    <xf numFmtId="4" fontId="7" fillId="0" borderId="0" xfId="0" applyNumberFormat="1" applyFont="1" applyAlignment="1" applyProtection="1">
      <alignment horizontal="center" vertical="center" wrapText="1"/>
      <protection locked="0"/>
    </xf>
    <xf numFmtId="4" fontId="7" fillId="0" borderId="0" xfId="0" applyNumberFormat="1" applyFont="1" applyAlignment="1" applyProtection="1">
      <alignment horizontal="center" vertical="center" wrapText="1"/>
      <protection hidden="1"/>
    </xf>
    <xf numFmtId="4" fontId="6" fillId="0" borderId="0" xfId="0" applyNumberFormat="1" applyFont="1" applyAlignment="1" applyProtection="1">
      <alignment horizontal="center" vertical="center" wrapText="1"/>
      <protection hidden="1"/>
    </xf>
    <xf numFmtId="4" fontId="5" fillId="0" borderId="0" xfId="2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10" fontId="8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4" fontId="7" fillId="0" borderId="0" xfId="0" applyNumberFormat="1" applyFont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  <xf numFmtId="0" fontId="6" fillId="4" borderId="0" xfId="0" applyFont="1" applyFill="1" applyAlignment="1">
      <alignment horizontal="center" vertical="center" wrapText="1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49" fontId="6" fillId="0" borderId="0" xfId="0" applyNumberFormat="1" applyFont="1"/>
    <xf numFmtId="0" fontId="7" fillId="0" borderId="0" xfId="0" applyFont="1" applyAlignment="1">
      <alignment horizontal="center" vertical="center"/>
    </xf>
    <xf numFmtId="14" fontId="7" fillId="4" borderId="0" xfId="0" applyNumberFormat="1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14" fontId="8" fillId="4" borderId="0" xfId="0" applyNumberFormat="1" applyFont="1" applyFill="1" applyAlignment="1">
      <alignment horizontal="center" vertical="center" wrapText="1"/>
    </xf>
    <xf numFmtId="4" fontId="0" fillId="0" borderId="0" xfId="0" applyNumberFormat="1"/>
    <xf numFmtId="0" fontId="22" fillId="0" borderId="0" xfId="0" applyFont="1" applyAlignment="1">
      <alignment horizontal="center"/>
    </xf>
    <xf numFmtId="0" fontId="20" fillId="0" borderId="1" xfId="0" applyFont="1" applyBorder="1" applyAlignment="1">
      <alignment horizontal="center"/>
    </xf>
    <xf numFmtId="4" fontId="20" fillId="0" borderId="1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4" fontId="20" fillId="7" borderId="1" xfId="0" applyNumberFormat="1" applyFont="1" applyFill="1" applyBorder="1" applyAlignment="1">
      <alignment horizontal="center"/>
    </xf>
    <xf numFmtId="4" fontId="20" fillId="0" borderId="0" xfId="0" applyNumberFormat="1" applyFont="1" applyAlignment="1">
      <alignment horizontal="center"/>
    </xf>
    <xf numFmtId="0" fontId="22" fillId="0" borderId="0" xfId="0" applyFont="1" applyAlignment="1">
      <alignment horizontal="center" vertical="center"/>
    </xf>
    <xf numFmtId="4" fontId="20" fillId="8" borderId="1" xfId="0" applyNumberFormat="1" applyFont="1" applyFill="1" applyBorder="1" applyAlignment="1">
      <alignment horizontal="center"/>
    </xf>
    <xf numFmtId="0" fontId="22" fillId="6" borderId="0" xfId="0" applyFont="1" applyFill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20" fillId="0" borderId="0" xfId="0" applyFont="1" applyAlignment="1">
      <alignment horizontal="left"/>
    </xf>
    <xf numFmtId="0" fontId="0" fillId="0" borderId="1" xfId="0" applyBorder="1" applyAlignment="1">
      <alignment wrapText="1"/>
    </xf>
    <xf numFmtId="0" fontId="0" fillId="0" borderId="0" xfId="0" applyAlignment="1">
      <alignment horizontal="center"/>
    </xf>
    <xf numFmtId="0" fontId="20" fillId="8" borderId="3" xfId="0" applyFont="1" applyFill="1" applyBorder="1"/>
    <xf numFmtId="0" fontId="20" fillId="8" borderId="13" xfId="0" applyFont="1" applyFill="1" applyBorder="1"/>
    <xf numFmtId="0" fontId="23" fillId="0" borderId="0" xfId="0" applyFont="1"/>
    <xf numFmtId="0" fontId="23" fillId="0" borderId="0" xfId="0" applyFont="1" applyAlignment="1">
      <alignment horizontal="left"/>
    </xf>
    <xf numFmtId="3" fontId="0" fillId="0" borderId="1" xfId="0" applyNumberFormat="1" applyBorder="1" applyAlignment="1">
      <alignment horizontal="center"/>
    </xf>
    <xf numFmtId="0" fontId="20" fillId="0" borderId="18" xfId="0" applyFont="1" applyBorder="1" applyAlignment="1">
      <alignment vertical="top"/>
    </xf>
    <xf numFmtId="0" fontId="20" fillId="0" borderId="19" xfId="0" applyFont="1" applyBorder="1" applyAlignment="1">
      <alignment vertical="top"/>
    </xf>
    <xf numFmtId="4" fontId="20" fillId="8" borderId="13" xfId="0" applyNumberFormat="1" applyFont="1" applyFill="1" applyBorder="1"/>
    <xf numFmtId="2" fontId="20" fillId="0" borderId="19" xfId="0" applyNumberFormat="1" applyFont="1" applyBorder="1" applyAlignment="1">
      <alignment vertical="top"/>
    </xf>
    <xf numFmtId="49" fontId="25" fillId="0" borderId="3" xfId="0" applyNumberFormat="1" applyFont="1" applyBorder="1" applyAlignment="1" applyProtection="1">
      <alignment horizontal="center" vertical="center"/>
      <protection locked="0"/>
    </xf>
    <xf numFmtId="0" fontId="17" fillId="4" borderId="21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4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3" borderId="0" xfId="0" applyFont="1" applyFill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5" fillId="3" borderId="1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4" fillId="3" borderId="0" xfId="12" applyFill="1" applyAlignment="1">
      <alignment horizontal="center" vertical="center" wrapText="1"/>
    </xf>
    <xf numFmtId="49" fontId="24" fillId="3" borderId="1" xfId="12" applyNumberFormat="1" applyFill="1" applyBorder="1" applyAlignment="1" applyProtection="1">
      <alignment horizontal="center" vertical="center"/>
      <protection locked="0"/>
    </xf>
    <xf numFmtId="49" fontId="7" fillId="3" borderId="12" xfId="0" applyNumberFormat="1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>
      <alignment horizontal="center" vertical="center"/>
    </xf>
    <xf numFmtId="49" fontId="7" fillId="3" borderId="4" xfId="0" applyNumberFormat="1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4" fontId="7" fillId="0" borderId="0" xfId="0" applyNumberFormat="1" applyFont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left" vertical="center"/>
      <protection locked="0"/>
    </xf>
    <xf numFmtId="0" fontId="24" fillId="3" borderId="1" xfId="12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4" fontId="7" fillId="3" borderId="1" xfId="0" applyNumberFormat="1" applyFont="1" applyFill="1" applyBorder="1" applyAlignment="1" applyProtection="1">
      <alignment horizontal="center" vertical="center"/>
      <protection locked="0"/>
    </xf>
    <xf numFmtId="4" fontId="7" fillId="3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/>
    </xf>
    <xf numFmtId="0" fontId="24" fillId="3" borderId="1" xfId="12" applyFill="1" applyBorder="1" applyAlignment="1" applyProtection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4" fillId="0" borderId="16" xfId="12" applyFill="1" applyBorder="1" applyAlignment="1" applyProtection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4" fillId="0" borderId="1" xfId="12" applyFill="1" applyBorder="1" applyAlignment="1" applyProtection="1">
      <alignment horizontal="center" vertical="center"/>
    </xf>
    <xf numFmtId="0" fontId="10" fillId="0" borderId="0" xfId="1" applyFont="1" applyFill="1" applyBorder="1" applyAlignment="1" applyProtection="1">
      <alignment horizontal="center" vertical="center"/>
    </xf>
    <xf numFmtId="0" fontId="24" fillId="3" borderId="0" xfId="12" applyFill="1" applyAlignment="1" applyProtection="1">
      <alignment horizontal="center" vertical="center"/>
    </xf>
    <xf numFmtId="49" fontId="6" fillId="0" borderId="0" xfId="0" applyNumberFormat="1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3" fontId="25" fillId="0" borderId="0" xfId="0" applyNumberFormat="1" applyFont="1" applyAlignment="1">
      <alignment horizontal="center" vertical="center" wrapText="1"/>
    </xf>
    <xf numFmtId="49" fontId="25" fillId="0" borderId="0" xfId="0" applyNumberFormat="1" applyFont="1" applyAlignment="1" applyProtection="1">
      <alignment horizontal="center" vertical="center"/>
      <protection locked="0"/>
    </xf>
    <xf numFmtId="0" fontId="17" fillId="3" borderId="0" xfId="0" applyFont="1" applyFill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4" fontId="25" fillId="0" borderId="0" xfId="0" applyNumberFormat="1" applyFont="1" applyAlignment="1" applyProtection="1">
      <alignment horizontal="center" vertical="center"/>
      <protection locked="0"/>
    </xf>
    <xf numFmtId="4" fontId="25" fillId="0" borderId="0" xfId="0" applyNumberFormat="1" applyFont="1" applyAlignment="1" applyProtection="1">
      <alignment horizontal="center" vertical="center" wrapText="1"/>
      <protection hidden="1"/>
    </xf>
    <xf numFmtId="4" fontId="16" fillId="0" borderId="0" xfId="0" applyNumberFormat="1" applyFont="1" applyAlignment="1" applyProtection="1">
      <alignment horizontal="center" vertical="center" wrapText="1"/>
      <protection hidden="1"/>
    </xf>
    <xf numFmtId="4" fontId="27" fillId="0" borderId="0" xfId="2" applyNumberFormat="1" applyFont="1" applyFill="1" applyBorder="1" applyAlignment="1" applyProtection="1">
      <alignment horizontal="center" vertical="center"/>
      <protection hidden="1"/>
    </xf>
    <xf numFmtId="4" fontId="16" fillId="0" borderId="0" xfId="0" applyNumberFormat="1" applyFont="1" applyAlignment="1">
      <alignment vertical="center"/>
    </xf>
    <xf numFmtId="4" fontId="28" fillId="0" borderId="0" xfId="0" applyNumberFormat="1" applyFont="1" applyAlignment="1">
      <alignment vertical="center"/>
    </xf>
    <xf numFmtId="49" fontId="16" fillId="0" borderId="0" xfId="0" applyNumberFormat="1" applyFont="1" applyAlignment="1">
      <alignment vertical="center"/>
    </xf>
    <xf numFmtId="0" fontId="27" fillId="2" borderId="1" xfId="0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right" vertical="center" wrapText="1"/>
    </xf>
    <xf numFmtId="4" fontId="25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25" fillId="3" borderId="1" xfId="0" applyNumberFormat="1" applyFont="1" applyFill="1" applyBorder="1" applyAlignment="1" applyProtection="1">
      <alignment horizontal="center" vertical="center" wrapText="1"/>
      <protection hidden="1"/>
    </xf>
    <xf numFmtId="4" fontId="16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25" fillId="3" borderId="1" xfId="0" applyNumberFormat="1" applyFont="1" applyFill="1" applyBorder="1" applyAlignment="1" applyProtection="1">
      <alignment horizontal="center" vertical="center"/>
      <protection locked="0"/>
    </xf>
    <xf numFmtId="0" fontId="29" fillId="3" borderId="1" xfId="12" applyFont="1" applyFill="1" applyBorder="1" applyAlignment="1" applyProtection="1">
      <alignment horizontal="center" vertical="center"/>
    </xf>
    <xf numFmtId="0" fontId="29" fillId="3" borderId="1" xfId="12" applyFont="1" applyFill="1" applyBorder="1" applyAlignment="1" applyProtection="1">
      <alignment horizontal="center" vertical="center" wrapText="1"/>
      <protection locked="0"/>
    </xf>
    <xf numFmtId="0" fontId="25" fillId="3" borderId="1" xfId="0" applyFont="1" applyFill="1" applyBorder="1" applyAlignment="1" applyProtection="1">
      <alignment horizontal="center" vertical="center"/>
      <protection locked="0"/>
    </xf>
    <xf numFmtId="4" fontId="25" fillId="3" borderId="1" xfId="0" applyNumberFormat="1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Alignment="1">
      <alignment horizontal="center" vertical="center" wrapText="1"/>
    </xf>
    <xf numFmtId="49" fontId="30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17" fillId="3" borderId="0" xfId="0" applyFont="1" applyFill="1" applyAlignment="1">
      <alignment vertical="center"/>
    </xf>
    <xf numFmtId="4" fontId="25" fillId="3" borderId="1" xfId="0" applyNumberFormat="1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/>
    </xf>
    <xf numFmtId="4" fontId="25" fillId="3" borderId="1" xfId="0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 applyProtection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4" fontId="6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0" xfId="0" applyFill="1" applyAlignment="1">
      <alignment vertical="center"/>
    </xf>
    <xf numFmtId="0" fontId="24" fillId="3" borderId="1" xfId="12" applyFill="1" applyBorder="1" applyAlignment="1">
      <alignment horizontal="center" vertical="center"/>
    </xf>
    <xf numFmtId="0" fontId="8" fillId="3" borderId="4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25" fillId="3" borderId="0" xfId="0" applyFont="1" applyFill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 applyProtection="1">
      <alignment horizontal="center" vertical="center"/>
      <protection locked="0"/>
    </xf>
    <xf numFmtId="0" fontId="24" fillId="3" borderId="1" xfId="1" applyFont="1" applyFill="1" applyBorder="1" applyAlignment="1" applyProtection="1">
      <alignment horizontal="center" vertical="center"/>
    </xf>
    <xf numFmtId="0" fontId="29" fillId="3" borderId="1" xfId="1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/>
    </xf>
    <xf numFmtId="0" fontId="15" fillId="3" borderId="1" xfId="0" applyFont="1" applyFill="1" applyBorder="1" applyAlignment="1">
      <alignment horizontal="center"/>
    </xf>
    <xf numFmtId="4" fontId="1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3" borderId="1" xfId="0" applyNumberFormat="1" applyFont="1" applyFill="1" applyBorder="1" applyAlignment="1" applyProtection="1">
      <alignment horizontal="center" vertical="center"/>
      <protection locked="0"/>
    </xf>
    <xf numFmtId="4" fontId="15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/>
    </xf>
    <xf numFmtId="0" fontId="24" fillId="3" borderId="1" xfId="12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/>
    </xf>
    <xf numFmtId="4" fontId="0" fillId="10" borderId="1" xfId="0" applyNumberFormat="1" applyFill="1" applyBorder="1" applyAlignment="1">
      <alignment horizontal="center"/>
    </xf>
    <xf numFmtId="3" fontId="0" fillId="10" borderId="1" xfId="0" applyNumberFormat="1" applyFill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0" borderId="1" xfId="0" applyFont="1" applyBorder="1"/>
    <xf numFmtId="4" fontId="33" fillId="10" borderId="1" xfId="0" applyNumberFormat="1" applyFont="1" applyFill="1" applyBorder="1" applyAlignment="1">
      <alignment horizontal="center"/>
    </xf>
    <xf numFmtId="3" fontId="33" fillId="10" borderId="1" xfId="0" applyNumberFormat="1" applyFont="1" applyFill="1" applyBorder="1" applyAlignment="1">
      <alignment horizontal="center"/>
    </xf>
    <xf numFmtId="4" fontId="33" fillId="0" borderId="1" xfId="0" applyNumberFormat="1" applyFont="1" applyBorder="1" applyAlignment="1">
      <alignment horizontal="center"/>
    </xf>
    <xf numFmtId="4" fontId="23" fillId="0" borderId="0" xfId="0" applyNumberFormat="1" applyFont="1" applyAlignment="1">
      <alignment horizontal="center"/>
    </xf>
    <xf numFmtId="3" fontId="0" fillId="11" borderId="1" xfId="0" applyNumberFormat="1" applyFill="1" applyBorder="1" applyAlignment="1">
      <alignment horizontal="center"/>
    </xf>
    <xf numFmtId="0" fontId="1" fillId="0" borderId="0" xfId="5"/>
    <xf numFmtId="0" fontId="1" fillId="0" borderId="0" xfId="5" applyAlignment="1">
      <alignment horizontal="center" vertical="center"/>
    </xf>
    <xf numFmtId="0" fontId="38" fillId="0" borderId="0" xfId="5" applyFont="1" applyAlignment="1">
      <alignment horizontal="center" vertical="center"/>
    </xf>
    <xf numFmtId="0" fontId="1" fillId="0" borderId="1" xfId="5" applyBorder="1" applyAlignment="1">
      <alignment horizontal="center" vertical="center"/>
    </xf>
    <xf numFmtId="0" fontId="1" fillId="0" borderId="0" xfId="5" applyAlignment="1">
      <alignment horizontal="left" vertical="center"/>
    </xf>
    <xf numFmtId="0" fontId="38" fillId="0" borderId="1" xfId="5" applyFont="1" applyBorder="1" applyAlignment="1">
      <alignment horizontal="center" vertical="center"/>
    </xf>
    <xf numFmtId="0" fontId="1" fillId="0" borderId="1" xfId="5" applyBorder="1" applyAlignment="1">
      <alignment vertical="center"/>
    </xf>
    <xf numFmtId="2" fontId="1" fillId="0" borderId="1" xfId="5" applyNumberFormat="1" applyBorder="1" applyAlignment="1">
      <alignment vertical="center"/>
    </xf>
    <xf numFmtId="10" fontId="1" fillId="0" borderId="1" xfId="6" applyNumberFormat="1" applyBorder="1" applyAlignment="1">
      <alignment horizontal="center" vertical="center"/>
    </xf>
    <xf numFmtId="10" fontId="1" fillId="0" borderId="1" xfId="6" applyNumberFormat="1" applyFill="1" applyBorder="1" applyAlignment="1">
      <alignment horizontal="center" vertical="center"/>
    </xf>
    <xf numFmtId="2" fontId="38" fillId="0" borderId="1" xfId="5" applyNumberFormat="1" applyFont="1" applyBorder="1" applyAlignment="1">
      <alignment vertical="center"/>
    </xf>
    <xf numFmtId="2" fontId="38" fillId="0" borderId="0" xfId="5" applyNumberFormat="1" applyFont="1" applyAlignment="1">
      <alignment vertical="center"/>
    </xf>
    <xf numFmtId="0" fontId="1" fillId="0" borderId="0" xfId="5" applyAlignment="1">
      <alignment vertical="center"/>
    </xf>
    <xf numFmtId="167" fontId="3" fillId="0" borderId="0" xfId="13" applyNumberFormat="1" applyFont="1"/>
    <xf numFmtId="10" fontId="1" fillId="0" borderId="1" xfId="5" applyNumberFormat="1" applyBorder="1" applyAlignment="1">
      <alignment horizontal="center" vertical="center"/>
    </xf>
    <xf numFmtId="10" fontId="1" fillId="3" borderId="1" xfId="5" applyNumberFormat="1" applyFill="1" applyBorder="1" applyAlignment="1">
      <alignment horizontal="center" vertical="center"/>
    </xf>
    <xf numFmtId="10" fontId="38" fillId="0" borderId="1" xfId="5" applyNumberFormat="1" applyFont="1" applyBorder="1" applyAlignment="1">
      <alignment horizontal="center" vertical="center"/>
    </xf>
    <xf numFmtId="2" fontId="0" fillId="0" borderId="0" xfId="0" applyNumberFormat="1"/>
    <xf numFmtId="0" fontId="38" fillId="14" borderId="1" xfId="5" applyFont="1" applyFill="1" applyBorder="1" applyAlignment="1">
      <alignment horizontal="center" vertical="center"/>
    </xf>
    <xf numFmtId="2" fontId="1" fillId="0" borderId="1" xfId="5" applyNumberFormat="1" applyBorder="1" applyAlignment="1">
      <alignment horizontal="right" vertical="center"/>
    </xf>
    <xf numFmtId="0" fontId="1" fillId="0" borderId="3" xfId="5" applyBorder="1" applyAlignment="1">
      <alignment vertical="center"/>
    </xf>
    <xf numFmtId="0" fontId="1" fillId="0" borderId="13" xfId="5" applyBorder="1" applyAlignment="1">
      <alignment vertical="center"/>
    </xf>
    <xf numFmtId="0" fontId="1" fillId="0" borderId="4" xfId="5" applyBorder="1" applyAlignment="1">
      <alignment vertical="center"/>
    </xf>
    <xf numFmtId="0" fontId="40" fillId="9" borderId="0" xfId="14" applyFont="1" applyBorder="1" applyAlignment="1">
      <alignment horizontal="left"/>
    </xf>
    <xf numFmtId="10" fontId="3" fillId="0" borderId="0" xfId="13" applyNumberFormat="1" applyFont="1"/>
    <xf numFmtId="10" fontId="0" fillId="0" borderId="0" xfId="13" applyNumberFormat="1" applyFont="1"/>
    <xf numFmtId="10" fontId="1" fillId="0" borderId="1" xfId="5" applyNumberFormat="1" applyBorder="1" applyAlignment="1">
      <alignment vertical="center"/>
    </xf>
    <xf numFmtId="2" fontId="1" fillId="0" borderId="1" xfId="5" applyNumberFormat="1" applyBorder="1" applyAlignment="1">
      <alignment horizontal="center" vertical="center"/>
    </xf>
    <xf numFmtId="10" fontId="1" fillId="0" borderId="1" xfId="6" applyNumberFormat="1" applyBorder="1" applyAlignment="1">
      <alignment vertical="center"/>
    </xf>
    <xf numFmtId="2" fontId="1" fillId="0" borderId="0" xfId="5" applyNumberFormat="1" applyAlignment="1">
      <alignment vertical="center"/>
    </xf>
    <xf numFmtId="0" fontId="41" fillId="0" borderId="10" xfId="5" applyFont="1" applyBorder="1" applyAlignment="1">
      <alignment horizontal="center" vertical="center"/>
    </xf>
    <xf numFmtId="10" fontId="41" fillId="0" borderId="11" xfId="6" applyNumberFormat="1" applyFont="1" applyBorder="1" applyAlignment="1">
      <alignment vertical="center"/>
    </xf>
    <xf numFmtId="2" fontId="41" fillId="0" borderId="12" xfId="5" applyNumberFormat="1" applyFont="1" applyBorder="1" applyAlignment="1">
      <alignment vertical="center"/>
    </xf>
    <xf numFmtId="0" fontId="41" fillId="0" borderId="5" xfId="5" applyFont="1" applyBorder="1" applyAlignment="1">
      <alignment horizontal="center" vertical="center"/>
    </xf>
    <xf numFmtId="0" fontId="41" fillId="0" borderId="0" xfId="5" applyFont="1" applyAlignment="1">
      <alignment horizontal="left" vertical="center"/>
    </xf>
    <xf numFmtId="10" fontId="41" fillId="0" borderId="0" xfId="6" applyNumberFormat="1" applyFont="1" applyBorder="1" applyAlignment="1">
      <alignment vertical="center"/>
    </xf>
    <xf numFmtId="2" fontId="41" fillId="0" borderId="6" xfId="5" applyNumberFormat="1" applyFont="1" applyBorder="1" applyAlignment="1">
      <alignment vertical="center"/>
    </xf>
    <xf numFmtId="0" fontId="42" fillId="0" borderId="5" xfId="5" applyFont="1" applyBorder="1" applyAlignment="1">
      <alignment vertical="center"/>
    </xf>
    <xf numFmtId="0" fontId="41" fillId="0" borderId="7" xfId="5" applyFont="1" applyBorder="1" applyAlignment="1">
      <alignment horizontal="center" vertical="center"/>
    </xf>
    <xf numFmtId="10" fontId="41" fillId="0" borderId="8" xfId="6" applyNumberFormat="1" applyFont="1" applyBorder="1" applyAlignment="1">
      <alignment vertical="center"/>
    </xf>
    <xf numFmtId="2" fontId="41" fillId="0" borderId="9" xfId="5" applyNumberFormat="1" applyFont="1" applyBorder="1" applyAlignment="1">
      <alignment vertical="center"/>
    </xf>
    <xf numFmtId="0" fontId="38" fillId="0" borderId="33" xfId="5" applyFont="1" applyBorder="1" applyAlignment="1">
      <alignment horizontal="center" vertical="center" wrapText="1"/>
    </xf>
    <xf numFmtId="0" fontId="38" fillId="0" borderId="34" xfId="5" applyFont="1" applyBorder="1" applyAlignment="1">
      <alignment horizontal="center" vertical="center" wrapText="1"/>
    </xf>
    <xf numFmtId="0" fontId="38" fillId="0" borderId="34" xfId="5" applyFont="1" applyBorder="1" applyAlignment="1">
      <alignment horizontal="center" vertical="center"/>
    </xf>
    <xf numFmtId="0" fontId="1" fillId="0" borderId="37" xfId="5" applyBorder="1" applyAlignment="1">
      <alignment horizontal="center" vertical="center"/>
    </xf>
    <xf numFmtId="0" fontId="1" fillId="0" borderId="39" xfId="5" applyBorder="1" applyAlignment="1">
      <alignment vertical="center"/>
    </xf>
    <xf numFmtId="0" fontId="1" fillId="0" borderId="40" xfId="5" applyBorder="1" applyAlignment="1">
      <alignment vertical="center"/>
    </xf>
    <xf numFmtId="2" fontId="1" fillId="0" borderId="41" xfId="5" applyNumberFormat="1" applyBorder="1" applyAlignment="1">
      <alignment vertical="center"/>
    </xf>
    <xf numFmtId="0" fontId="1" fillId="0" borderId="42" xfId="5" applyBorder="1" applyAlignment="1">
      <alignment horizontal="center" vertical="center"/>
    </xf>
    <xf numFmtId="0" fontId="1" fillId="0" borderId="44" xfId="5" applyBorder="1" applyAlignment="1">
      <alignment vertical="center"/>
    </xf>
    <xf numFmtId="2" fontId="1" fillId="0" borderId="45" xfId="5" applyNumberFormat="1" applyBorder="1" applyAlignment="1">
      <alignment vertical="center"/>
    </xf>
    <xf numFmtId="0" fontId="38" fillId="0" borderId="13" xfId="5" applyFont="1" applyBorder="1" applyAlignment="1">
      <alignment vertical="center"/>
    </xf>
    <xf numFmtId="0" fontId="38" fillId="0" borderId="44" xfId="5" applyFont="1" applyBorder="1" applyAlignment="1">
      <alignment vertical="center"/>
    </xf>
    <xf numFmtId="0" fontId="1" fillId="0" borderId="19" xfId="5" applyBorder="1" applyAlignment="1">
      <alignment vertical="center"/>
    </xf>
    <xf numFmtId="0" fontId="1" fillId="0" borderId="48" xfId="5" applyBorder="1" applyAlignment="1">
      <alignment vertical="center"/>
    </xf>
    <xf numFmtId="2" fontId="1" fillId="0" borderId="49" xfId="5" applyNumberFormat="1" applyBorder="1" applyAlignment="1">
      <alignment vertical="center"/>
    </xf>
    <xf numFmtId="2" fontId="38" fillId="0" borderId="53" xfId="5" applyNumberFormat="1" applyFont="1" applyBorder="1" applyAlignment="1">
      <alignment vertical="center"/>
    </xf>
    <xf numFmtId="0" fontId="1" fillId="0" borderId="54" xfId="5" applyBorder="1" applyAlignment="1">
      <alignment horizontal="center" vertical="center"/>
    </xf>
    <xf numFmtId="2" fontId="1" fillId="0" borderId="38" xfId="5" applyNumberFormat="1" applyBorder="1" applyAlignment="1">
      <alignment vertical="center"/>
    </xf>
    <xf numFmtId="2" fontId="1" fillId="0" borderId="43" xfId="5" applyNumberFormat="1" applyBorder="1" applyAlignment="1">
      <alignment vertical="center"/>
    </xf>
    <xf numFmtId="168" fontId="38" fillId="15" borderId="1" xfId="5" applyNumberFormat="1" applyFont="1" applyFill="1" applyBorder="1"/>
    <xf numFmtId="0" fontId="38" fillId="0" borderId="0" xfId="5" applyFont="1" applyAlignment="1">
      <alignment vertical="center"/>
    </xf>
    <xf numFmtId="164" fontId="38" fillId="0" borderId="0" xfId="4" applyFont="1" applyAlignment="1">
      <alignment vertical="center"/>
    </xf>
    <xf numFmtId="43" fontId="1" fillId="0" borderId="0" xfId="5" applyNumberFormat="1" applyAlignment="1">
      <alignment vertical="center"/>
    </xf>
    <xf numFmtId="4" fontId="38" fillId="0" borderId="1" xfId="5" applyNumberFormat="1" applyFont="1" applyBorder="1" applyAlignment="1">
      <alignment vertical="center"/>
    </xf>
    <xf numFmtId="0" fontId="43" fillId="0" borderId="1" xfId="0" applyFont="1" applyBorder="1" applyAlignment="1">
      <alignment horizontal="center" vertical="center" wrapText="1"/>
    </xf>
    <xf numFmtId="4" fontId="0" fillId="0" borderId="1" xfId="0" applyNumberFormat="1" applyBorder="1"/>
    <xf numFmtId="0" fontId="43" fillId="0" borderId="1" xfId="0" applyFont="1" applyBorder="1" applyAlignment="1">
      <alignment horizontal="left" vertical="center" wrapText="1"/>
    </xf>
    <xf numFmtId="0" fontId="45" fillId="0" borderId="0" xfId="0" applyFont="1"/>
    <xf numFmtId="4" fontId="45" fillId="0" borderId="1" xfId="0" applyNumberFormat="1" applyFont="1" applyBorder="1"/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 wrapText="1"/>
    </xf>
    <xf numFmtId="14" fontId="7" fillId="3" borderId="13" xfId="0" applyNumberFormat="1" applyFont="1" applyFill="1" applyBorder="1" applyAlignment="1">
      <alignment horizontal="center" vertical="center" wrapText="1"/>
    </xf>
    <xf numFmtId="4" fontId="5" fillId="10" borderId="1" xfId="2" applyNumberFormat="1" applyFont="1" applyFill="1" applyBorder="1" applyAlignment="1" applyProtection="1">
      <alignment horizontal="center" vertical="center"/>
      <protection hidden="1"/>
    </xf>
    <xf numFmtId="4" fontId="5" fillId="3" borderId="1" xfId="2" applyNumberFormat="1" applyFont="1" applyFill="1" applyBorder="1" applyAlignment="1" applyProtection="1">
      <alignment horizontal="center" vertical="center"/>
      <protection hidden="1"/>
    </xf>
    <xf numFmtId="14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4" fontId="8" fillId="3" borderId="1" xfId="0" applyNumberFormat="1" applyFont="1" applyFill="1" applyBorder="1" applyAlignment="1">
      <alignment horizontal="center" vertical="center" wrapText="1"/>
    </xf>
    <xf numFmtId="14" fontId="17" fillId="4" borderId="3" xfId="0" applyNumberFormat="1" applyFont="1" applyFill="1" applyBorder="1" applyAlignment="1">
      <alignment horizontal="center" vertical="center" wrapText="1"/>
    </xf>
    <xf numFmtId="14" fontId="17" fillId="4" borderId="4" xfId="0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4" fontId="8" fillId="3" borderId="3" xfId="0" applyNumberFormat="1" applyFont="1" applyFill="1" applyBorder="1" applyAlignment="1">
      <alignment horizontal="center" vertical="center"/>
    </xf>
    <xf numFmtId="14" fontId="8" fillId="3" borderId="4" xfId="0" applyNumberFormat="1" applyFont="1" applyFill="1" applyBorder="1" applyAlignment="1">
      <alignment horizontal="center" vertical="center"/>
    </xf>
    <xf numFmtId="14" fontId="8" fillId="3" borderId="3" xfId="0" applyNumberFormat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14" fontId="8" fillId="4" borderId="3" xfId="0" applyNumberFormat="1" applyFont="1" applyFill="1" applyBorder="1" applyAlignment="1">
      <alignment horizontal="center" vertical="center" wrapText="1"/>
    </xf>
    <xf numFmtId="14" fontId="8" fillId="4" borderId="4" xfId="0" applyNumberFormat="1" applyFont="1" applyFill="1" applyBorder="1" applyAlignment="1">
      <alignment horizontal="center" vertical="center" wrapText="1"/>
    </xf>
    <xf numFmtId="14" fontId="8" fillId="3" borderId="13" xfId="0" applyNumberFormat="1" applyFont="1" applyFill="1" applyBorder="1" applyAlignment="1">
      <alignment horizontal="center" vertical="center" wrapText="1"/>
    </xf>
    <xf numFmtId="14" fontId="7" fillId="3" borderId="3" xfId="0" applyNumberFormat="1" applyFont="1" applyFill="1" applyBorder="1" applyAlignment="1">
      <alignment horizontal="center" vertical="center" wrapText="1"/>
    </xf>
    <xf numFmtId="14" fontId="7" fillId="3" borderId="4" xfId="0" applyNumberFormat="1" applyFont="1" applyFill="1" applyBorder="1" applyAlignment="1">
      <alignment horizontal="center" vertical="center" wrapText="1"/>
    </xf>
    <xf numFmtId="14" fontId="8" fillId="3" borderId="1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" fontId="5" fillId="0" borderId="1" xfId="2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 wrapText="1"/>
    </xf>
    <xf numFmtId="14" fontId="8" fillId="4" borderId="13" xfId="0" applyNumberFormat="1" applyFont="1" applyFill="1" applyBorder="1" applyAlignment="1">
      <alignment horizontal="center" vertical="center" wrapText="1"/>
    </xf>
    <xf numFmtId="14" fontId="8" fillId="4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7" fillId="0" borderId="10" xfId="0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0" fontId="27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4" fontId="27" fillId="10" borderId="1" xfId="2" applyNumberFormat="1" applyFont="1" applyFill="1" applyBorder="1" applyAlignment="1" applyProtection="1">
      <alignment horizontal="center" vertical="center"/>
      <protection hidden="1"/>
    </xf>
    <xf numFmtId="4" fontId="27" fillId="3" borderId="1" xfId="2" applyNumberFormat="1" applyFont="1" applyFill="1" applyBorder="1" applyAlignment="1" applyProtection="1">
      <alignment horizontal="center" vertical="center"/>
      <protection hidden="1"/>
    </xf>
    <xf numFmtId="3" fontId="25" fillId="3" borderId="1" xfId="0" applyNumberFormat="1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14" fontId="25" fillId="3" borderId="1" xfId="0" applyNumberFormat="1" applyFont="1" applyFill="1" applyBorder="1" applyAlignment="1">
      <alignment horizontal="center" vertical="center" wrapText="1"/>
    </xf>
    <xf numFmtId="49" fontId="30" fillId="2" borderId="1" xfId="0" applyNumberFormat="1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/>
    </xf>
    <xf numFmtId="0" fontId="25" fillId="3" borderId="20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30" fillId="0" borderId="11" xfId="0" applyFont="1" applyBorder="1" applyAlignment="1">
      <alignment horizontal="left" vertical="center"/>
    </xf>
    <xf numFmtId="0" fontId="30" fillId="0" borderId="12" xfId="0" applyFont="1" applyBorder="1" applyAlignment="1">
      <alignment horizontal="left" vertical="center"/>
    </xf>
    <xf numFmtId="0" fontId="30" fillId="0" borderId="5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14" fontId="25" fillId="3" borderId="3" xfId="0" applyNumberFormat="1" applyFont="1" applyFill="1" applyBorder="1" applyAlignment="1">
      <alignment horizontal="center" vertical="center"/>
    </xf>
    <xf numFmtId="14" fontId="25" fillId="3" borderId="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26" fillId="5" borderId="10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/>
    </xf>
    <xf numFmtId="0" fontId="27" fillId="2" borderId="13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3" fontId="7" fillId="3" borderId="2" xfId="0" applyNumberFormat="1" applyFont="1" applyFill="1" applyBorder="1" applyAlignment="1">
      <alignment horizontal="center" vertical="center" wrapText="1"/>
    </xf>
    <xf numFmtId="3" fontId="7" fillId="3" borderId="20" xfId="0" applyNumberFormat="1" applyFont="1" applyFill="1" applyBorder="1" applyAlignment="1">
      <alignment horizontal="center" vertical="center" wrapText="1"/>
    </xf>
    <xf numFmtId="3" fontId="7" fillId="3" borderId="16" xfId="0" applyNumberFormat="1" applyFont="1" applyFill="1" applyBorder="1" applyAlignment="1">
      <alignment horizontal="center" vertical="center" wrapText="1"/>
    </xf>
    <xf numFmtId="14" fontId="15" fillId="3" borderId="1" xfId="0" applyNumberFormat="1" applyFont="1" applyFill="1" applyBorder="1" applyAlignment="1">
      <alignment horizontal="center" vertical="center" wrapText="1"/>
    </xf>
    <xf numFmtId="14" fontId="15" fillId="3" borderId="3" xfId="0" applyNumberFormat="1" applyFont="1" applyFill="1" applyBorder="1" applyAlignment="1">
      <alignment horizontal="center" vertical="center" wrapText="1"/>
    </xf>
    <xf numFmtId="14" fontId="15" fillId="3" borderId="4" xfId="0" applyNumberFormat="1" applyFont="1" applyFill="1" applyBorder="1" applyAlignment="1">
      <alignment horizontal="center" vertical="center" wrapText="1"/>
    </xf>
    <xf numFmtId="4" fontId="5" fillId="3" borderId="2" xfId="2" applyNumberFormat="1" applyFont="1" applyFill="1" applyBorder="1" applyAlignment="1" applyProtection="1">
      <alignment horizontal="center" vertical="center"/>
      <protection hidden="1"/>
    </xf>
    <xf numFmtId="4" fontId="5" fillId="3" borderId="20" xfId="2" applyNumberFormat="1" applyFont="1" applyFill="1" applyBorder="1" applyAlignment="1" applyProtection="1">
      <alignment horizontal="center" vertical="center"/>
      <protection hidden="1"/>
    </xf>
    <xf numFmtId="4" fontId="5" fillId="3" borderId="16" xfId="2" applyNumberFormat="1" applyFont="1" applyFill="1" applyBorder="1" applyAlignment="1" applyProtection="1">
      <alignment horizontal="center" vertical="center"/>
      <protection hidden="1"/>
    </xf>
    <xf numFmtId="49" fontId="6" fillId="2" borderId="1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8" borderId="1" xfId="0" applyFont="1" applyFill="1" applyBorder="1" applyAlignment="1">
      <alignment horizontal="left"/>
    </xf>
    <xf numFmtId="0" fontId="21" fillId="0" borderId="0" xfId="0" applyFont="1" applyAlignment="1">
      <alignment horizontal="center" vertical="center"/>
    </xf>
    <xf numFmtId="0" fontId="22" fillId="6" borderId="8" xfId="0" applyFont="1" applyFill="1" applyBorder="1" applyAlignment="1">
      <alignment horizontal="center"/>
    </xf>
    <xf numFmtId="0" fontId="20" fillId="7" borderId="1" xfId="0" applyFont="1" applyFill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22" fillId="6" borderId="8" xfId="0" applyFont="1" applyFill="1" applyBorder="1" applyAlignment="1">
      <alignment horizontal="center" vertical="center"/>
    </xf>
    <xf numFmtId="0" fontId="22" fillId="6" borderId="9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1" fillId="0" borderId="18" xfId="5" applyBorder="1" applyAlignment="1">
      <alignment horizontal="left" vertical="center"/>
    </xf>
    <xf numFmtId="0" fontId="1" fillId="0" borderId="19" xfId="5" applyBorder="1" applyAlignment="1">
      <alignment horizontal="left" vertical="center"/>
    </xf>
    <xf numFmtId="0" fontId="1" fillId="0" borderId="58" xfId="5" applyBorder="1" applyAlignment="1">
      <alignment horizontal="left" vertical="center"/>
    </xf>
    <xf numFmtId="0" fontId="1" fillId="0" borderId="31" xfId="5" applyBorder="1" applyAlignment="1">
      <alignment horizontal="center" vertical="center"/>
    </xf>
    <xf numFmtId="0" fontId="1" fillId="0" borderId="33" xfId="5" applyBorder="1" applyAlignment="1">
      <alignment horizontal="center" vertical="center"/>
    </xf>
    <xf numFmtId="0" fontId="1" fillId="0" borderId="59" xfId="5" applyBorder="1" applyAlignment="1">
      <alignment horizontal="center" vertical="center"/>
    </xf>
    <xf numFmtId="0" fontId="38" fillId="15" borderId="1" xfId="5" applyFont="1" applyFill="1" applyBorder="1" applyAlignment="1">
      <alignment horizontal="center" vertical="center"/>
    </xf>
    <xf numFmtId="0" fontId="1" fillId="0" borderId="1" xfId="5" applyBorder="1" applyAlignment="1">
      <alignment horizontal="left" vertical="center" wrapText="1"/>
    </xf>
    <xf numFmtId="0" fontId="38" fillId="0" borderId="50" xfId="5" applyFont="1" applyBorder="1" applyAlignment="1">
      <alignment horizontal="center" vertical="center"/>
    </xf>
    <xf numFmtId="0" fontId="38" fillId="0" borderId="51" xfId="5" applyFont="1" applyBorder="1" applyAlignment="1">
      <alignment horizontal="center" vertical="center"/>
    </xf>
    <xf numFmtId="0" fontId="38" fillId="0" borderId="52" xfId="5" applyFont="1" applyBorder="1" applyAlignment="1">
      <alignment horizontal="center" vertical="center"/>
    </xf>
    <xf numFmtId="0" fontId="1" fillId="0" borderId="0" xfId="5" applyAlignment="1">
      <alignment horizontal="center" vertical="center"/>
    </xf>
    <xf numFmtId="0" fontId="38" fillId="0" borderId="31" xfId="5" applyFont="1" applyBorder="1" applyAlignment="1">
      <alignment horizontal="center" vertical="center"/>
    </xf>
    <xf numFmtId="0" fontId="38" fillId="0" borderId="33" xfId="5" applyFont="1" applyBorder="1" applyAlignment="1">
      <alignment horizontal="center" vertical="center"/>
    </xf>
    <xf numFmtId="0" fontId="38" fillId="0" borderId="32" xfId="5" applyFont="1" applyBorder="1" applyAlignment="1">
      <alignment horizontal="center" vertical="center"/>
    </xf>
    <xf numFmtId="0" fontId="38" fillId="0" borderId="55" xfId="5" applyFont="1" applyBorder="1" applyAlignment="1">
      <alignment horizontal="left" vertical="center"/>
    </xf>
    <xf numFmtId="0" fontId="38" fillId="0" borderId="33" xfId="5" applyFont="1" applyBorder="1" applyAlignment="1">
      <alignment horizontal="left" vertical="center"/>
    </xf>
    <xf numFmtId="0" fontId="38" fillId="0" borderId="32" xfId="5" applyFont="1" applyBorder="1" applyAlignment="1">
      <alignment horizontal="left" vertical="center"/>
    </xf>
    <xf numFmtId="0" fontId="1" fillId="0" borderId="56" xfId="5" applyBorder="1" applyAlignment="1">
      <alignment horizontal="left" vertical="center"/>
    </xf>
    <xf numFmtId="0" fontId="1" fillId="0" borderId="39" xfId="5" applyBorder="1" applyAlignment="1">
      <alignment horizontal="left" vertical="center"/>
    </xf>
    <xf numFmtId="0" fontId="1" fillId="0" borderId="57" xfId="5" applyBorder="1" applyAlignment="1">
      <alignment horizontal="left" vertical="center"/>
    </xf>
    <xf numFmtId="0" fontId="1" fillId="0" borderId="3" xfId="5" applyBorder="1" applyAlignment="1">
      <alignment horizontal="left" vertical="center"/>
    </xf>
    <xf numFmtId="0" fontId="1" fillId="0" borderId="13" xfId="5" applyBorder="1" applyAlignment="1">
      <alignment horizontal="left" vertical="center"/>
    </xf>
    <xf numFmtId="0" fontId="1" fillId="0" borderId="4" xfId="5" applyBorder="1" applyAlignment="1">
      <alignment horizontal="left" vertical="center"/>
    </xf>
    <xf numFmtId="0" fontId="38" fillId="0" borderId="42" xfId="5" applyFont="1" applyBorder="1" applyAlignment="1">
      <alignment horizontal="center" vertical="center"/>
    </xf>
    <xf numFmtId="0" fontId="38" fillId="0" borderId="3" xfId="5" applyFont="1" applyBorder="1" applyAlignment="1">
      <alignment horizontal="center" vertical="center"/>
    </xf>
    <xf numFmtId="0" fontId="1" fillId="0" borderId="42" xfId="5" applyBorder="1" applyAlignment="1">
      <alignment horizontal="center" vertical="center"/>
    </xf>
    <xf numFmtId="0" fontId="1" fillId="0" borderId="43" xfId="5" applyBorder="1" applyAlignment="1">
      <alignment horizontal="center" vertical="center"/>
    </xf>
    <xf numFmtId="0" fontId="38" fillId="0" borderId="46" xfId="5" applyFont="1" applyBorder="1" applyAlignment="1">
      <alignment horizontal="center" vertical="center"/>
    </xf>
    <xf numFmtId="0" fontId="38" fillId="0" borderId="18" xfId="5" applyFont="1" applyBorder="1" applyAlignment="1">
      <alignment horizontal="center" vertical="center"/>
    </xf>
    <xf numFmtId="0" fontId="1" fillId="0" borderId="46" xfId="5" applyBorder="1" applyAlignment="1">
      <alignment horizontal="center" vertical="center"/>
    </xf>
    <xf numFmtId="0" fontId="1" fillId="0" borderId="47" xfId="5" applyBorder="1" applyAlignment="1">
      <alignment horizontal="center" vertical="center"/>
    </xf>
    <xf numFmtId="0" fontId="1" fillId="0" borderId="1" xfId="5" applyBorder="1" applyAlignment="1">
      <alignment horizontal="center" vertical="center"/>
    </xf>
    <xf numFmtId="0" fontId="1" fillId="0" borderId="3" xfId="5" applyBorder="1" applyAlignment="1">
      <alignment horizontal="center" vertical="center"/>
    </xf>
    <xf numFmtId="0" fontId="1" fillId="0" borderId="37" xfId="5" applyBorder="1" applyAlignment="1">
      <alignment horizontal="left" vertical="center"/>
    </xf>
    <xf numFmtId="0" fontId="1" fillId="0" borderId="38" xfId="5" applyBorder="1" applyAlignment="1">
      <alignment horizontal="left" vertical="center"/>
    </xf>
    <xf numFmtId="0" fontId="1" fillId="0" borderId="16" xfId="5" applyBorder="1" applyAlignment="1">
      <alignment horizontal="center" vertical="center"/>
    </xf>
    <xf numFmtId="0" fontId="1" fillId="0" borderId="7" xfId="5" applyBorder="1" applyAlignment="1">
      <alignment horizontal="center" vertical="center"/>
    </xf>
    <xf numFmtId="0" fontId="1" fillId="0" borderId="35" xfId="5" applyBorder="1" applyAlignment="1">
      <alignment horizontal="left" vertical="center"/>
    </xf>
    <xf numFmtId="0" fontId="1" fillId="0" borderId="36" xfId="5" applyBorder="1" applyAlignment="1">
      <alignment horizontal="left" vertical="center"/>
    </xf>
    <xf numFmtId="0" fontId="1" fillId="0" borderId="37" xfId="5" applyBorder="1" applyAlignment="1">
      <alignment horizontal="center" vertical="center"/>
    </xf>
    <xf numFmtId="0" fontId="1" fillId="0" borderId="38" xfId="5" applyBorder="1" applyAlignment="1">
      <alignment horizontal="center" vertical="center"/>
    </xf>
    <xf numFmtId="0" fontId="38" fillId="0" borderId="1" xfId="5" applyFont="1" applyBorder="1" applyAlignment="1">
      <alignment horizontal="center" vertical="center"/>
    </xf>
    <xf numFmtId="0" fontId="1" fillId="0" borderId="1" xfId="5" applyBorder="1" applyAlignment="1">
      <alignment horizontal="left" vertical="center"/>
    </xf>
    <xf numFmtId="0" fontId="38" fillId="0" borderId="31" xfId="5" applyFont="1" applyBorder="1" applyAlignment="1">
      <alignment horizontal="center" vertical="center" wrapText="1"/>
    </xf>
    <xf numFmtId="0" fontId="38" fillId="0" borderId="32" xfId="5" applyFont="1" applyBorder="1" applyAlignment="1">
      <alignment horizontal="center" vertical="center" wrapText="1"/>
    </xf>
    <xf numFmtId="0" fontId="41" fillId="0" borderId="11" xfId="5" applyFont="1" applyBorder="1" applyAlignment="1">
      <alignment horizontal="left" vertical="center"/>
    </xf>
    <xf numFmtId="0" fontId="41" fillId="0" borderId="0" xfId="5" applyFont="1" applyAlignment="1">
      <alignment horizontal="left" vertical="center"/>
    </xf>
    <xf numFmtId="0" fontId="41" fillId="0" borderId="8" xfId="5" applyFont="1" applyBorder="1" applyAlignment="1">
      <alignment horizontal="left" vertical="center"/>
    </xf>
    <xf numFmtId="0" fontId="38" fillId="12" borderId="1" xfId="5" applyFont="1" applyFill="1" applyBorder="1" applyAlignment="1">
      <alignment horizontal="center" vertical="center"/>
    </xf>
    <xf numFmtId="0" fontId="38" fillId="0" borderId="1" xfId="5" applyFont="1" applyBorder="1" applyAlignment="1">
      <alignment horizontal="left" vertical="center"/>
    </xf>
    <xf numFmtId="0" fontId="1" fillId="0" borderId="0" xfId="5" applyAlignment="1">
      <alignment horizontal="left" vertical="center"/>
    </xf>
    <xf numFmtId="0" fontId="38" fillId="14" borderId="28" xfId="5" applyFont="1" applyFill="1" applyBorder="1" applyAlignment="1">
      <alignment horizontal="center" vertical="center"/>
    </xf>
    <xf numFmtId="0" fontId="38" fillId="14" borderId="11" xfId="5" applyFont="1" applyFill="1" applyBorder="1" applyAlignment="1">
      <alignment horizontal="center" vertical="center"/>
    </xf>
    <xf numFmtId="0" fontId="38" fillId="13" borderId="1" xfId="5" applyFont="1" applyFill="1" applyBorder="1" applyAlignment="1">
      <alignment horizontal="center" vertical="center"/>
    </xf>
    <xf numFmtId="0" fontId="1" fillId="0" borderId="1" xfId="5" applyBorder="1" applyAlignment="1">
      <alignment vertical="center"/>
    </xf>
    <xf numFmtId="0" fontId="38" fillId="14" borderId="29" xfId="5" applyFont="1" applyFill="1" applyBorder="1" applyAlignment="1">
      <alignment horizontal="center" vertical="center"/>
    </xf>
    <xf numFmtId="0" fontId="38" fillId="14" borderId="13" xfId="5" applyFont="1" applyFill="1" applyBorder="1" applyAlignment="1">
      <alignment horizontal="center" vertical="center"/>
    </xf>
    <xf numFmtId="0" fontId="38" fillId="14" borderId="30" xfId="5" applyFont="1" applyFill="1" applyBorder="1" applyAlignment="1">
      <alignment horizontal="center" vertical="center"/>
    </xf>
    <xf numFmtId="0" fontId="38" fillId="14" borderId="8" xfId="5" applyFont="1" applyFill="1" applyBorder="1" applyAlignment="1">
      <alignment horizontal="center" vertical="center"/>
    </xf>
    <xf numFmtId="0" fontId="38" fillId="0" borderId="13" xfId="5" applyFont="1" applyBorder="1" applyAlignment="1">
      <alignment horizontal="center" vertical="center"/>
    </xf>
    <xf numFmtId="0" fontId="40" fillId="9" borderId="24" xfId="14" applyFont="1" applyBorder="1" applyAlignment="1">
      <alignment horizontal="left"/>
    </xf>
    <xf numFmtId="0" fontId="40" fillId="9" borderId="25" xfId="14" applyFont="1" applyBorder="1" applyAlignment="1">
      <alignment horizontal="left"/>
    </xf>
    <xf numFmtId="0" fontId="40" fillId="9" borderId="26" xfId="14" applyFont="1" applyBorder="1" applyAlignment="1">
      <alignment horizontal="left"/>
    </xf>
    <xf numFmtId="0" fontId="1" fillId="0" borderId="3" xfId="5" applyBorder="1" applyAlignment="1">
      <alignment vertical="center"/>
    </xf>
    <xf numFmtId="0" fontId="1" fillId="0" borderId="13" xfId="5" applyBorder="1" applyAlignment="1">
      <alignment vertical="center"/>
    </xf>
    <xf numFmtId="0" fontId="1" fillId="0" borderId="4" xfId="5" applyBorder="1" applyAlignment="1">
      <alignment vertical="center"/>
    </xf>
    <xf numFmtId="0" fontId="38" fillId="14" borderId="1" xfId="5" applyFont="1" applyFill="1" applyBorder="1" applyAlignment="1">
      <alignment horizontal="center" vertical="center"/>
    </xf>
    <xf numFmtId="0" fontId="38" fillId="14" borderId="3" xfId="5" applyFont="1" applyFill="1" applyBorder="1" applyAlignment="1">
      <alignment horizontal="center" vertical="center"/>
    </xf>
    <xf numFmtId="0" fontId="40" fillId="9" borderId="24" xfId="14" applyFont="1" applyBorder="1" applyAlignment="1">
      <alignment horizontal="left" wrapText="1"/>
    </xf>
    <xf numFmtId="0" fontId="40" fillId="9" borderId="25" xfId="14" applyFont="1" applyBorder="1" applyAlignment="1">
      <alignment horizontal="left" wrapText="1"/>
    </xf>
    <xf numFmtId="0" fontId="40" fillId="9" borderId="26" xfId="14" applyFont="1" applyBorder="1" applyAlignment="1">
      <alignment horizontal="left" wrapText="1"/>
    </xf>
    <xf numFmtId="0" fontId="39" fillId="9" borderId="24" xfId="14" quotePrefix="1" applyFont="1" applyBorder="1" applyAlignment="1">
      <alignment horizontal="left" vertical="center"/>
    </xf>
    <xf numFmtId="0" fontId="39" fillId="9" borderId="25" xfId="14" quotePrefix="1" applyFont="1" applyBorder="1" applyAlignment="1">
      <alignment horizontal="left" vertical="center"/>
    </xf>
    <xf numFmtId="0" fontId="39" fillId="9" borderId="26" xfId="14" quotePrefix="1" applyFont="1" applyBorder="1" applyAlignment="1">
      <alignment horizontal="left" vertical="center"/>
    </xf>
    <xf numFmtId="0" fontId="39" fillId="9" borderId="24" xfId="14" quotePrefix="1" applyFont="1" applyBorder="1" applyAlignment="1">
      <alignment horizontal="left" vertical="center" wrapText="1"/>
    </xf>
    <xf numFmtId="0" fontId="39" fillId="9" borderId="25" xfId="14" quotePrefix="1" applyFont="1" applyBorder="1" applyAlignment="1">
      <alignment horizontal="left" vertical="center" wrapText="1"/>
    </xf>
    <xf numFmtId="0" fontId="39" fillId="9" borderId="26" xfId="14" quotePrefix="1" applyFont="1" applyBorder="1" applyAlignment="1">
      <alignment horizontal="left" vertical="center" wrapText="1"/>
    </xf>
    <xf numFmtId="0" fontId="38" fillId="14" borderId="27" xfId="5" applyFont="1" applyFill="1" applyBorder="1" applyAlignment="1">
      <alignment horizontal="center" vertical="center"/>
    </xf>
    <xf numFmtId="0" fontId="38" fillId="14" borderId="0" xfId="5" applyFont="1" applyFill="1" applyAlignment="1">
      <alignment horizontal="center" vertical="center"/>
    </xf>
    <xf numFmtId="0" fontId="39" fillId="9" borderId="24" xfId="14" applyFont="1" applyBorder="1" applyAlignment="1">
      <alignment horizontal="left" vertical="center"/>
    </xf>
    <xf numFmtId="0" fontId="39" fillId="9" borderId="25" xfId="14" applyFont="1" applyBorder="1" applyAlignment="1">
      <alignment horizontal="left" vertical="center"/>
    </xf>
    <xf numFmtId="0" fontId="39" fillId="9" borderId="26" xfId="14" applyFont="1" applyBorder="1" applyAlignment="1">
      <alignment horizontal="left" vertical="center"/>
    </xf>
    <xf numFmtId="14" fontId="1" fillId="0" borderId="1" xfId="5" applyNumberFormat="1" applyBorder="1" applyAlignment="1">
      <alignment horizontal="center" vertical="center"/>
    </xf>
    <xf numFmtId="166" fontId="1" fillId="0" borderId="1" xfId="5" applyNumberFormat="1" applyBorder="1" applyAlignment="1">
      <alignment horizontal="center" vertical="center"/>
    </xf>
    <xf numFmtId="0" fontId="38" fillId="0" borderId="0" xfId="5" applyFont="1" applyAlignment="1">
      <alignment horizontal="left" vertical="center"/>
    </xf>
    <xf numFmtId="0" fontId="1" fillId="0" borderId="8" xfId="5" applyBorder="1" applyAlignment="1">
      <alignment horizontal="center" vertical="center"/>
    </xf>
    <xf numFmtId="0" fontId="34" fillId="0" borderId="0" xfId="5" applyFont="1" applyAlignment="1">
      <alignment horizontal="left" vertical="center" wrapText="1"/>
    </xf>
    <xf numFmtId="0" fontId="1" fillId="0" borderId="0" xfId="5" applyAlignment="1">
      <alignment horizontal="left" vertical="center" wrapText="1"/>
    </xf>
    <xf numFmtId="0" fontId="38" fillId="0" borderId="0" xfId="5" applyFont="1" applyAlignment="1">
      <alignment horizontal="center" vertical="center"/>
    </xf>
    <xf numFmtId="0" fontId="1" fillId="0" borderId="0" xfId="5" applyAlignment="1">
      <alignment horizontal="center"/>
    </xf>
    <xf numFmtId="0" fontId="38" fillId="0" borderId="0" xfId="5" applyFont="1" applyAlignment="1">
      <alignment horizontal="center"/>
    </xf>
    <xf numFmtId="0" fontId="1" fillId="0" borderId="1" xfId="5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5">
    <cellStyle name="Excel Built-in Normal" xfId="7" xr:uid="{A8B1A3C9-F0A1-4A5B-BB2A-B5EBA9F0B764}"/>
    <cellStyle name="Hiperlink" xfId="1" builtinId="8"/>
    <cellStyle name="Hyperlink" xfId="12" xr:uid="{00000000-000B-0000-0000-000008000000}"/>
    <cellStyle name="Moeda" xfId="2" builtinId="4"/>
    <cellStyle name="Moeda 2" xfId="3" xr:uid="{00000000-0005-0000-0000-000002000000}"/>
    <cellStyle name="Moeda 3" xfId="4" xr:uid="{00000000-0005-0000-0000-000003000000}"/>
    <cellStyle name="Moeda 4" xfId="8" xr:uid="{216BC4B0-8A0C-4182-9090-654D7D30D00E}"/>
    <cellStyle name="Normal" xfId="0" builtinId="0"/>
    <cellStyle name="Normal 2" xfId="5" xr:uid="{00000000-0005-0000-0000-000005000000}"/>
    <cellStyle name="Normal 2 2" xfId="10" xr:uid="{E683C98A-9677-4B57-A409-8BC4C0882548}"/>
    <cellStyle name="Normal 2 3" xfId="11" xr:uid="{EAD75397-5848-4390-BEF7-1653A6635C0A}"/>
    <cellStyle name="Normal 2 4" xfId="9" xr:uid="{FEED6E95-9632-43B0-B792-EDDE746FD8FC}"/>
    <cellStyle name="Nota" xfId="14" builtinId="10"/>
    <cellStyle name="Porcentagem" xfId="13" builtinId="5"/>
    <cellStyle name="Porcentagem 2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0</xdr:row>
      <xdr:rowOff>400050</xdr:rowOff>
    </xdr:to>
    <xdr:pic>
      <xdr:nvPicPr>
        <xdr:cNvPr id="1732611" name="Imagem 1" descr="anac_comp_horz_esp-cor.png">
          <a:extLst>
            <a:ext uri="{FF2B5EF4-FFF2-40B4-BE49-F238E27FC236}">
              <a16:creationId xmlns:a16="http://schemas.microsoft.com/office/drawing/2014/main" id="{D9E8809E-92CF-E22A-447A-E82BBFA8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57150"/>
          <a:ext cx="9588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87FCDF2-8542-4162-A1E9-BAC97F8F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1</xdr:row>
      <xdr:rowOff>171450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E7960993-0BB5-4F98-B2F7-C15D44336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975" y="57150"/>
          <a:ext cx="942974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3</xdr:row>
      <xdr:rowOff>19050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B58A90D5-C346-4EB1-8DB2-27E24B44A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975" y="57150"/>
          <a:ext cx="942974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4</xdr:row>
      <xdr:rowOff>57150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D7EE6CE3-1606-482F-BA7B-81E91F92D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975" y="57150"/>
          <a:ext cx="942974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1</xdr:col>
      <xdr:colOff>1117600</xdr:colOff>
      <xdr:row>0</xdr:row>
      <xdr:rowOff>697891</xdr:rowOff>
    </xdr:to>
    <xdr:pic>
      <xdr:nvPicPr>
        <xdr:cNvPr id="2" name="Imagem 0" descr="anac_comp_horz_esp-cor.png">
          <a:extLst>
            <a:ext uri="{FF2B5EF4-FFF2-40B4-BE49-F238E27FC236}">
              <a16:creationId xmlns:a16="http://schemas.microsoft.com/office/drawing/2014/main" id="{6401BCC5-E72E-4018-B841-1C03CB00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765300" cy="634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10919F3-3592-4143-B6FC-A3C2DF3F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3B80024-FACC-4369-A07F-EFEAD5199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82B8874-5D98-47FF-83B3-51065E0A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B8AC64A-85D0-4D00-9F24-F995E48EA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CSP0401\Dados\Users\marco.amaral\Documents\TRANSI&#199;&#195;O\GTLC\PESQUISA%20DE%20MERCADO\2017\EXPEDIENTE%202017%20-%20aguardando%20procuradoria\Planilhas%20SEI\Compra%20Almox%202017%20(Recuperad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lsport.com.br/meia-lupo-am-sport-bsica-03250-001/p?idsku=3956&amp;gad_source=4&amp;gad_campaignid=21858467656&amp;gbraid=0AAAAA9nbnM7bwmBQ7US3qMZUX3JTEfHDg&amp;gclid=EAIaIQobChMI2b3QopnLjQMVAVVIAB0ONj3IEAQYAiABEgLSwvD_BwE" TargetMode="External"/><Relationship Id="rId18" Type="http://schemas.openxmlformats.org/officeDocument/2006/relationships/hyperlink" Target="https://www.dispropil.com.br/bone-tatico-militar-c-velcro-rossi?utm_source=Site&amp;utm_medium=GoogleShopping&amp;utm_campaign=IntegracaoGoogle&amp;srsltid=AfmBOoodu00b83HDKvV2QhU0rpivIg4LS9QS6A3iXvkm8EMXMiZQyISc0f0" TargetMode="External"/><Relationship Id="rId26" Type="http://schemas.openxmlformats.org/officeDocument/2006/relationships/hyperlink" Target="https://marinhoshopping.com/products/terno-masculino-classico?currency=BRL&amp;variant=44561908793531&amp;stkn=6f72553fda23&amp;gad_source=4&amp;gad_campaignid=22443499116&amp;gbraid=0AAAAABWoJSjUj2dn-YJsKyS5yInb55zG-&amp;gclid=EAIaIQobChMI5vSMuO7IjQMViJ5aBR0LHBwiEAQYAiABEgIJbfD_BwE" TargetMode="External"/><Relationship Id="rId39" Type="http://schemas.openxmlformats.org/officeDocument/2006/relationships/hyperlink" Target="https://www.riachuelo.com.br/sapato-social-amarrac-o-12064580_sku?sku=12064580004" TargetMode="External"/><Relationship Id="rId21" Type="http://schemas.openxmlformats.org/officeDocument/2006/relationships/hyperlink" Target="https://www.jariomilitar.com.br/coletes-taticos/colete-tatico-operacional-balistico-seguranca-ja-rio-militar?variant_id=453&amp;parceiro=3553&amp;srsltid=AfmBOopS2IuZ16f30ZeZmSNwYen0VWa-kTxyGn1p19GZAYw8xmSkpvKXBPo" TargetMode="External"/><Relationship Id="rId34" Type="http://schemas.openxmlformats.org/officeDocument/2006/relationships/hyperlink" Target="https://cintosjulioalmeida.com.br/produto/cinto-tatico-militar-nylon/?attribute_pa_cor-fivela=prata&amp;srsltid=AfmBOoq0ieO50OwuY3LOLcjAAoBj8jzUP779CEmOtyfHyRcT3SuDPu068bY" TargetMode="External"/><Relationship Id="rId42" Type="http://schemas.openxmlformats.org/officeDocument/2006/relationships/hyperlink" Target="https://www.i9automacaocomercial.com.br/cracha-de-identificacao-personalizado-pequenas-quantidades/?sku=2662935.36461.0&amp;srsltid=AfmBOopBCBaLwPSLPJ64vFbpUyf0cuKPhxwiVgZxAeNjDb4rfBXQos-Pc_w" TargetMode="External"/><Relationship Id="rId47" Type="http://schemas.openxmlformats.org/officeDocument/2006/relationships/hyperlink" Target="https://franboots.com/produtos/coturno-bota-militar-tatica-airsoft-policial-acero-tiger-pro-preto-latego/?variant=1116302875&amp;pf=mc&amp;gad_source=4&amp;gad_campaignid=22589583992&amp;gbraid=0AAAAAoabRmGTdUBP5yQmCfdlOtc-wjM4s&amp;gclid=EAIaIQobChMI24aP24bJjQMVkWBIAB09_QRfEAQYAiABEgJEkfD_BwE" TargetMode="External"/><Relationship Id="rId50" Type="http://schemas.openxmlformats.org/officeDocument/2006/relationships/hyperlink" Target="https://gmtatico.com.br/produtos/bone-tatico-cor-preto-modelo-com-velcro/?srsltid=AfmBOoqDblnGL_Iz2fdsJrbpo1XXfniqD93Wg0eHwFoMOE109IhNgL-s3Vk" TargetMode="External"/><Relationship Id="rId7" Type="http://schemas.openxmlformats.org/officeDocument/2006/relationships/hyperlink" Target="https://www.anistia.com.br/masculino/camiseta/camiseta-anistia-basica-lisa-preto?variant_id=6903&amp;srsltid=AfmBOoqxVi6rKU35lyu9F8FPQCrCx40j4jL1_7WNdiUld5ZGEqKV2bjwfSc" TargetMode="External"/><Relationship Id="rId2" Type="http://schemas.openxmlformats.org/officeDocument/2006/relationships/hyperlink" Target="https://www.botaparanda.com.br/camisa-social-ripstop-preta-uniforme-tatico-vigilante-seguranca-bpd?utm_source=Site&amp;utm_medium=GoogleMerchant&amp;utm_campaign=GoogleMerchant&amp;sku=Camisa_Social_RipStop_GG&amp;srsltid=AfmBOooNSLhS_OmUziDauvXYn7vRvJTR3shfI14XS8dew_2upXTtRhPMkW0" TargetMode="External"/><Relationship Id="rId16" Type="http://schemas.openxmlformats.org/officeDocument/2006/relationships/hyperlink" Target="https://www.forhonor.com.br/produto/bone-tatico-black-2344" TargetMode="External"/><Relationship Id="rId29" Type="http://schemas.openxmlformats.org/officeDocument/2006/relationships/hyperlink" Target="https://www.tng.com.br/camisa-social-manga-longa-basica-pt-preto-bnmosb01-950/p?idsku=498316&amp;srsltid=AfmBOoqABTz17DCjgU2IK4yDEHgdrk1UloOXqqd5bao0-ZAFoGEgo02Bbak" TargetMode="External"/><Relationship Id="rId11" Type="http://schemas.openxmlformats.org/officeDocument/2006/relationships/hyperlink" Target="https://www.acerobotasloja.com.br/produto/bota-militar-acero-couro-mamute-pro-preto/?gad_source=4&amp;gad_campaignid=16535698203&amp;gbraid=0AAAAADK8fDog_Rnmz-iNDiGuplGxgqA3G&amp;gclid=EAIaIQobChMI3q2i5obJjQMVqUhIAB2sjQetEAQYBiABEgKOM_D_BwE" TargetMode="External"/><Relationship Id="rId24" Type="http://schemas.openxmlformats.org/officeDocument/2006/relationships/hyperlink" Target="https://www.ciadoterno.com.br/loja/ternos/terno-liso-preto-preto" TargetMode="External"/><Relationship Id="rId32" Type="http://schemas.openxmlformats.org/officeDocument/2006/relationships/hyperlink" Target="https://gravatasdobrasil.com.br/products/gravata-tradicional-lisa-preta?currency=BRL&amp;variant=49649110909219&amp;utm_source=google&amp;utm_medium=cpc&amp;utm_campaign=Google%20Shopping&amp;stkn=2eace15dbce4&amp;srsltid=AfmBOoprT9wysafHyhISlns5hT3Y74eLEieigL1makXqZzSKJV7-H9AVSQY" TargetMode="External"/><Relationship Id="rId37" Type="http://schemas.openxmlformats.org/officeDocument/2006/relationships/hyperlink" Target="https://www.tng.com.br/meia-social-basica-preto-bnmmes03-950/p?idsku=474076&amp;srsltid=AfmBOoqmZvnnwl9fkYtWJYguJaIKVWzhQBuveCj4acClHyxlcDMH9MxY6FE" TargetMode="External"/><Relationship Id="rId40" Type="http://schemas.openxmlformats.org/officeDocument/2006/relationships/hyperlink" Target="https://www.zattini.com.br/p/sapato-social-masculino-confortavel-dia-a-dia-direto-da-fabrica-preto-K3H-0020-006?campaign=gglepqpla" TargetMode="External"/><Relationship Id="rId45" Type="http://schemas.openxmlformats.org/officeDocument/2006/relationships/hyperlink" Target="https://www.botaparanda.com.br/calca-tatica-militar-em-rip-stop?utm_source=Site&amp;utm_medium=GoogleMerchant&amp;utm_campaign=GoogleMerchant&amp;sku=calca-tatica-militar-em-rip-stop-m&amp;srsltid=AfmBOor2rGK9GLvxznBDZ-eFKeEgpFJTHVK7DCOdf9xvOVEI8PFalO1Cq68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https://www.malwee.com.br/camiseta-pop-unissex-gola-redonda-em-algodao-100011592500004/p?idsku=212362&amp;utm_source=googleshopping&amp;utm_campaign=xml&amp;utm_medium=cpc&amp;utm_source=google&amp;utm_medium=cpc&amp;utm_campaign=e_conversao_malwee_adultos_pmax_AON&amp;gad_source=1&amp;gad_campaignid=17754787889&amp;gbraid=0AAAAADuVsmAarmqoAqsTSiJw_a11YrZ2j&amp;gclid=EAIaIQobChMI0InQzPPIjQMVloFaBR2KOBfiEAQYASABEgJcW_D_BwE" TargetMode="External"/><Relationship Id="rId10" Type="http://schemas.openxmlformats.org/officeDocument/2006/relationships/hyperlink" Target="https://www.rafalecalcados.com.br/produto/coturno-tatico-cano-medio-sb1-preto/" TargetMode="External"/><Relationship Id="rId19" Type="http://schemas.openxmlformats.org/officeDocument/2006/relationships/hyperlink" Target="https://invictus.com.br/products/jaqueta-fleece-snow-preta?_pos=3&amp;_sid=07a866097&amp;_ss=r" TargetMode="External"/><Relationship Id="rId31" Type="http://schemas.openxmlformats.org/officeDocument/2006/relationships/hyperlink" Target="https://dmaisgravatas.com.br/produto/preto-oxford/?srsltid=AfmBOopFRvcqaPpyyhYXkSbVvRJXYyfw12FpoZER7BPeKeCnuElZxEbCT8k" TargetMode="External"/><Relationship Id="rId44" Type="http://schemas.openxmlformats.org/officeDocument/2006/relationships/hyperlink" Target="https://www.lojadomilitar.com/calca-tatica-cargo?utm_source=Site&amp;utm_medium=GoogleMerchant&amp;utm_campaign=GoogleMerchant&amp;sku=calca-Tatica-Cargo-preto-xg&amp;srsltid=AfmBOors4tHtzJQDvbMKAbqX7P6aa00STNLaKoKkWChK8q3YIGF9Zmofe9c" TargetMode="External"/><Relationship Id="rId52" Type="http://schemas.openxmlformats.org/officeDocument/2006/relationships/hyperlink" Target="https://produtgy.com.br/products/jaqueta-masculina-tatica-militar-combat-americana-com-capuz?currency=BRL&amp;variant=43001053937883&amp;utm_source=google&amp;utm_medium=cpc&amp;utm_campaign=Google%20Shopping&amp;stkn=0f5f0e758e00&amp;gad_source=4&amp;gad_campaignid=21144891588&amp;gbraid=0AAAAAoMOgdubYRQvXmLkqVmf8AmRghdSK&amp;gclid=EAIaIQobChMIw_2aoZPJjQMVTJ5aBR1iGhHFEAQYBCABEgKNqPD_BwE" TargetMode="External"/><Relationship Id="rId4" Type="http://schemas.openxmlformats.org/officeDocument/2006/relationships/hyperlink" Target="https://www.hering.com.br/camiseta-basica-masculina-manga-curta-slim-0299n1007s/p?idsku=61846&amp;srsltid=AfmBOorUzIRmeO6wHM6GFCTKbx7ZfakbxTj43kCTfaXmlBLJnIo3tcv9iUw" TargetMode="External"/><Relationship Id="rId9" Type="http://schemas.openxmlformats.org/officeDocument/2006/relationships/hyperlink" Target="https://www.lojakallucci.com.br/produto/bota-tatica-militar-hidrofugada-everest-preta/?gad_source=4&amp;gad_campaignid=17417032951&amp;gbraid=0AAAAAC9sVHNo6VavjPNOrBaxrmNOBAS8X&amp;gclid=EAIaIQobChMI24aP24bJjQMVkWBIAB09_QRfEAQYAyABEgKs0vD_BwE" TargetMode="External"/><Relationship Id="rId14" Type="http://schemas.openxmlformats.org/officeDocument/2006/relationships/hyperlink" Target="https://www.olympikus.com.br/meia-cano-medio-olympikus-masculina-oimsa21195-3-030/p" TargetMode="External"/><Relationship Id="rId22" Type="http://schemas.openxmlformats.org/officeDocument/2006/relationships/hyperlink" Target="https://www.citerol.com.br/capa-de-colete-modular-citerol-cordura-1000-3a-01-08-0178/p?srsltid=AfmBOorWrX9UeNyvdpsdYCYDlh8OB53r4AxO6LhpK3ClAOTAOw9v4sgql6U" TargetMode="External"/><Relationship Id="rId27" Type="http://schemas.openxmlformats.org/officeDocument/2006/relationships/hyperlink" Target="https://www.citerol.com.br/workshirt-camisa-titan-preta-all-black-manga-longa-31-01-0146/p?srsltid=AfmBOoqCwfIsVMtUa5k9LvvOJHos5BbDcBvU9m4fCgHf4mzWs0Tph_MN9BA" TargetMode="External"/><Relationship Id="rId30" Type="http://schemas.openxmlformats.org/officeDocument/2006/relationships/hyperlink" Target="https://www.topgravatas.com.br/gravatas-de-casamento/gravata-preta" TargetMode="External"/><Relationship Id="rId35" Type="http://schemas.openxmlformats.org/officeDocument/2006/relationships/hyperlink" Target="https://www.abmfardamentos.com.br/produtos/cinto-militar-preto-de-nylon-com-fivela/?pf=gs&amp;variant=33951322&amp;srsltid=AfmBOoqUkjsle0UNkVk23OnYNiIu0iijPTOBhq-gqJUl8yZG14wz0MkPnnE" TargetMode="External"/><Relationship Id="rId43" Type="http://schemas.openxmlformats.org/officeDocument/2006/relationships/hyperlink" Target="https://www.guerramil.com.br/capa-de-colete-100-cordura?utm_source=Site&amp;utm_medium=GoogleShopping&amp;utm_campaign=IntegracaoGoogle&amp;srsltid=AfmBOoocyZbpr7ab4ZXsB7zm5y75rpQ1ZyJ3Z8FN8EgUGZirLqbqkTaNTbQ" TargetMode="External"/><Relationship Id="rId48" Type="http://schemas.openxmlformats.org/officeDocument/2006/relationships/hyperlink" Target="https://www.citerol.com.br/bota-tatica-impermeavel-brute-tractor-mid-citerol-preta-95-19-0010/p" TargetMode="External"/><Relationship Id="rId8" Type="http://schemas.openxmlformats.org/officeDocument/2006/relationships/hyperlink" Target="https://www.vigilanteshop.com.br/produtos/calca-cargo-6b-oxford-preta/" TargetMode="External"/><Relationship Id="rId51" Type="http://schemas.openxmlformats.org/officeDocument/2006/relationships/hyperlink" Target="https://www.wolfattack.com.br/jaqueta-wolf-defense-full-black-impermeavel-061901/p?idsku=51105&amp;srsltid=AfmBOorGZsIlJ-4XT84lASLoN7qDCk0NAWeFvT8RZ-yKpYnIDMbnFbCjhvI" TargetMode="External"/><Relationship Id="rId3" Type="http://schemas.openxmlformats.org/officeDocument/2006/relationships/hyperlink" Target="https://www.citerol.com.br/camisa-tatica-de-combate-manga-curta-ppmg-33-03-0020/p?srsltid=AfmBOopUyI9n0oQA9X34pXdmdnsNob1T2viwEUGu3BvpA3rbC3xymeneFvc" TargetMode="External"/><Relationship Id="rId12" Type="http://schemas.openxmlformats.org/officeDocument/2006/relationships/hyperlink" Target="https://www.saojorge.com.br/meia-cano-medio-trifil-6732-0006606-p107613?tsid=22&amp;variation-color=008-preto&amp;gad_source=4&amp;gad_campaignid=20992394057&amp;gbraid=0AAAAADidDaOXVhY_PiVaGUFIpiYC3k3wD&amp;gclid=EAIaIQobChMI94am54nJjQMV2KxaBR1iTRexEAQYBiABEgKCqvD_BwE" TargetMode="External"/><Relationship Id="rId17" Type="http://schemas.openxmlformats.org/officeDocument/2006/relationships/hyperlink" Target="https://www.alphabravoequipamentos.com.br/loja/bone-tatico-militar/bone-tatico-preto-p?srsltid=AfmBOoqzMxVyyUigR8huhJPxTYfny5aPL49bbjbObEF8_H1DuqzEVmMdVEI" TargetMode="External"/><Relationship Id="rId25" Type="http://schemas.openxmlformats.org/officeDocument/2006/relationships/hyperlink" Target="https://mrmaximus.com.br/products/terno-masculino-tradicional-liso-maximus?variant=49932437127444&amp;country=BR&#164;cy=BRL&amp;utm_medium=product_sync&amp;utm_source=google&amp;utm_content=sag_organic&amp;utm_campaign=sag_organic&amp;utm_source=google&amp;utm_medium=merchant&amp;utm_campaign=pmax_com_recurso_valor_roas_450&amp;utm_content=todos_produto&amp;gad_source=1&amp;gad_campaignid=21199110360&amp;gbraid=0AAAAA9gR9xPiRKIEZAKybg09cpvxhDHB7&amp;gclid=EAIaIQobChMI5u-g4-3IjQMVap9aBR0ZzxulEAQYBSABEgJiDfD_BwE" TargetMode="External"/><Relationship Id="rId33" Type="http://schemas.openxmlformats.org/officeDocument/2006/relationships/hyperlink" Target="https://couroart.com.br/produto/cinto-em-nylon-fivela-lisa-garra-preta/?attribute_pa_cor=verde&amp;attribute_pa_tamanho=120&amp;gad_source=4&amp;gad_campaignid=22316882581&amp;gbraid=0AAAAADBtTKkftQbLQafCWqOqbzFq0Zfv1&amp;gclid=EAIaIQobChMIsemoqvfIjQMV1JHuAR1YsRa_EAQYAiABEgLilfD_BwE" TargetMode="External"/><Relationship Id="rId38" Type="http://schemas.openxmlformats.org/officeDocument/2006/relationships/hyperlink" Target="https://www.mash.com.br/meia-social-cano-longo-poliamida-lisa-masculina-preto-23103pt00/p?idsku=2147400204&amp;gPromoCode=Namorados" TargetMode="External"/><Relationship Id="rId46" Type="http://schemas.openxmlformats.org/officeDocument/2006/relationships/hyperlink" Target="https://www.lojawwart.com.br/calca-tatica-militar-rip-stop-preta?utm_source=Site&amp;utm_medium=GoogleMerchant&amp;utm_campaign=GoogleMerchant&amp;sku=RAW253P42&amp;srsltid=AfmBOore7t4NXljnj7c4Sybc_O7jvp8vKXjjBIMJnzzkrOSrpwh9WlNqWQw" TargetMode="External"/><Relationship Id="rId20" Type="http://schemas.openxmlformats.org/officeDocument/2006/relationships/hyperlink" Target="https://www.printi.com.br/cracha/" TargetMode="External"/><Relationship Id="rId41" Type="http://schemas.openxmlformats.org/officeDocument/2006/relationships/hyperlink" Target="https://www.cea.com.br/sapato-social-bico-quadrado-com-cadarco-oneself-preto-1009773-preto/p?skuId=4749599&amp;srsltid=AfmBOoqCT-TWUdFOeD5n8jDjlWE9hs20G2hdIb323Mg9vs_K1aab5C_s6rI" TargetMode="External"/><Relationship Id="rId54" Type="http://schemas.openxmlformats.org/officeDocument/2006/relationships/drawing" Target="../drawings/drawing1.xml"/><Relationship Id="rId1" Type="http://schemas.openxmlformats.org/officeDocument/2006/relationships/hyperlink" Target="https://invictus.com.br/products/camisa-endurance-summer-preta?srsltid=AfmBOorRPXpo9-5CG59MpHUYOtRoKn5seBRIWHGVZ8mSeUFiJuUMbijA" TargetMode="External"/><Relationship Id="rId6" Type="http://schemas.openxmlformats.org/officeDocument/2006/relationships/hyperlink" Target="https://www.lojasrenner.com.br/p/camiseta-regular-basica-em-algodao/-/A-927686984-br.lr?sku=927687215&amp;p=refreshContent&amp;s_pdp=gs&amp;c_pdp=campaign_masccamisetas&amp;gad_source=4&amp;gad_campaignid=21356139828&amp;gbraid=0AAAAADomBMkHf3whJyyIxccSlJG_El8o2&amp;gclid=EAIaIQobChMIp4aJ-vPIjQMV8KBaBR2j-xvrEAQYAyABEgKOBfD_BwE" TargetMode="External"/><Relationship Id="rId15" Type="http://schemas.openxmlformats.org/officeDocument/2006/relationships/hyperlink" Target="https://www.centauro.com.br/meia-selene-esportiva-cano-medio-masculina---preto-m0i02b-mktp.html?cor=02" TargetMode="External"/><Relationship Id="rId23" Type="http://schemas.openxmlformats.org/officeDocument/2006/relationships/hyperlink" Target="https://gmtatico.com.br/produtos/capa-de-colete-horus-3a-preto-invictus/" TargetMode="External"/><Relationship Id="rId28" Type="http://schemas.openxmlformats.org/officeDocument/2006/relationships/hyperlink" Target="https://www.cea.com.br/camisa-manga-longa-com-bolso-preto-7591834-preto/p" TargetMode="External"/><Relationship Id="rId36" Type="http://schemas.openxmlformats.org/officeDocument/2006/relationships/hyperlink" Target="https://www.riachuelo.com.br/produto/meia-mash-100-algodao-231-05-t-39-42-20019fa709af4bd9aaf6e32969d94f54?sku=177526" TargetMode="External"/><Relationship Id="rId49" Type="http://schemas.openxmlformats.org/officeDocument/2006/relationships/hyperlink" Target="https://www.posthaus.com.br/meia-esportiva-cano-curto-selene-4085-002-preto-meias-sao-jorge-_art2251230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tore.vivo.com.br/smartphone-samsung-galaxy-a05-128gb-preto-4g-4gb-ram-tela-6-7-cam-traseira-50-2mp-frontal-8mp/p/TGSA5086?srsltid=AfmBOoryijOw0BlzBMrR6yw8wJn483inr-6_rz_Db-kikWi0TOrON1ZId-4" TargetMode="External"/><Relationship Id="rId13" Type="http://schemas.openxmlformats.org/officeDocument/2006/relationships/hyperlink" Target="https://lccontrol.mercadoshops.com.br/MLB-4035241125-basto-vigia-usb-topdata-controle-de-ronda-com-software-_JM?variation=183380448296&amp;gad_source=4&amp;gad_campaignid=21908845439&amp;gbraid=0AAAAA-gC2T-AdbT57LaRp4oqJRu1X7m52&amp;gclid=EAIaIQobChMIuoOsgqDLjQMVhIJaBR0NvhHXEAQYASABEgIZn_D_BwE" TargetMode="External"/><Relationship Id="rId18" Type="http://schemas.openxmlformats.org/officeDocument/2006/relationships/drawing" Target="../drawings/drawing2.xml"/><Relationship Id="rId3" Type="http://schemas.openxmlformats.org/officeDocument/2006/relationships/hyperlink" Target="https://www.americanas.com.br/smartphone-samsung-galaxy-a14-5g-128gb-octa-core-dual-chip-4gb-ram-camera-tripla-selfie-13mp-preto-6888832896/p?idsku=1906745&amp;srsltid=AfmBOooLk27oeMZbXTluSLP5TN971hoDYUHD5hojBLyehkSlgR7d9et7Wrc" TargetMode="External"/><Relationship Id="rId7" Type="http://schemas.openxmlformats.org/officeDocument/2006/relationships/hyperlink" Target="https://www.gazin.com.br/produto/smartphone-xiaomi-redmi-a3-4g-67-128gb-4gb-camera-dupla/9474/preto/quadriband?utm_source=google&amp;utm_medium=google-ads&amp;gad_source=4&amp;gad_campaignid=20786252082&amp;gbraid=0AAAAADfPMJ2j5MpdHkYo4Deula4mQzdAi&amp;gclid=EAIaIQobChMIi7yrkJ7LjQMV9IVaBR33CSJJEAQYASABEgICEPD_BwE" TargetMode="External"/><Relationship Id="rId12" Type="http://schemas.openxmlformats.org/officeDocument/2006/relationships/hyperlink" Target="https://lojadoponto.com.br/controle-de-ronda-bast-o-vigia-blue-1053.html" TargetMode="External"/><Relationship Id="rId17" Type="http://schemas.openxmlformats.org/officeDocument/2006/relationships/hyperlink" Target="https://www.amazon.com.br/REL%C3%93GIO-PONTO-BIOM%C3%89TRICO-CONTROL-ID/dp/B07NTPMLPK?source=ps-sl-shoppingads-lpcontext&amp;ref_=fplfs&amp;psc=1&amp;smid=A17SCC0J0BZUPZ" TargetMode="External"/><Relationship Id="rId2" Type="http://schemas.openxmlformats.org/officeDocument/2006/relationships/hyperlink" Target="https://www.carrefour.com.br/smartphone-motorola-moto-g24-grafite-128gb-8gb-4gb-ram4gb-ram-boost-ai-camera-50mp-night-vision-3388280/p" TargetMode="External"/><Relationship Id="rId16" Type="http://schemas.openxmlformats.org/officeDocument/2006/relationships/hyperlink" Target="https://www.canalautomacao.com.br/relogio-de-ponto-control-id-idclass-373-rep-a/?sku=915597.8413.0.119602&amp;srsltid=AfmBOorq_jRGICIhZE05asXCE4Vd6kH7dcuiWLLFUv6eCPnARoqlPl4Mc98" TargetMode="External"/><Relationship Id="rId1" Type="http://schemas.openxmlformats.org/officeDocument/2006/relationships/hyperlink" Target="https://www.kabum.com.br/produto/545723/smartphone-xiaomi-redmi-a3-128gb-4gb-ram-tela-6-7-azul?srsltid=AfmBOoonElqGZTi3_ChArnkFxrVYRbHY1FbXVbd_21T1S0qP_c2oPHZDOww" TargetMode="External"/><Relationship Id="rId6" Type="http://schemas.openxmlformats.org/officeDocument/2006/relationships/hyperlink" Target="https://loja.intelbras.com.br/radio-comunicador-rc-3002-g2/p?idsku=4163002&amp;gad_source=4&amp;gad_campaignid=21906129775&amp;gbraid=0AAAAACdR-opotprM-WbwA4YEz64Oycbxa&amp;gclid=EAIaIQobChMIlcXOu5bJjQMVzp9aBR3mIiEsEAQYASABEgL7IPD_BwE" TargetMode="External"/><Relationship Id="rId11" Type="http://schemas.openxmlformats.org/officeDocument/2006/relationships/hyperlink" Target="https://www.byponto.com.br/bastao-de-ronda-vigia-blue-henry" TargetMode="External"/><Relationship Id="rId5" Type="http://schemas.openxmlformats.org/officeDocument/2006/relationships/hyperlink" Target="https://lccontrol.mercadoshops.com.br/MLB-4035241125-basto-vigia-usb-topdata-controle-de-ronda-com-software-_JM?variation=183380448296&amp;gad_source=4&amp;gad_campaignid=21908845439&amp;gbraid=0AAAAA-gC2T-AdbT57LaRp4oqJRu1X7m52&amp;gclid=EAIaIQobChMIuoOsgqDLjQMVhIJaBR0NvhHXEAQYASABEgIZn_D_BwE" TargetMode="External"/><Relationship Id="rId15" Type="http://schemas.openxmlformats.org/officeDocument/2006/relationships/hyperlink" Target="https://lojadoponto.com.br/relogio-ponto-biometrico-rep-idclass-control-id.html?srsltid=AfmBOopYcVf1kjMvaUPADz9DJeo7EYwOn6qQ_aaZx72YFuUAph03A_qHYLo" TargetMode="External"/><Relationship Id="rId10" Type="http://schemas.openxmlformats.org/officeDocument/2006/relationships/hyperlink" Target="https://www.amazon.com.br/Radio-Comunicador-Baofeng-Bf-777s-Ouvido/dp/B077J69PDF?source=ps-sl-shoppingads-lpcontext&amp;ref_=fplfs&amp;psc=1&amp;smid=A2OTHCAO9GQZEN" TargetMode="External"/><Relationship Id="rId4" Type="http://schemas.openxmlformats.org/officeDocument/2006/relationships/hyperlink" Target="https://lojadoponto.com.br/controle-de-ronda-bast-o-vigia-blue-1053.html" TargetMode="External"/><Relationship Id="rId9" Type="http://schemas.openxmlformats.org/officeDocument/2006/relationships/hyperlink" Target="https://www.eletronicasantana.com.br/radio-comunicador-rc3002-rg2-2-unidades-intelbras/p?idsku=29133&amp;gad_source=4&amp;gad_campaignid=21449345720&amp;gbraid=0AAAAADxD8A3K3mP7qpZ9cLXkGaDWt8kcx&amp;gclid=EAIaIQobChMIlcXOu5bJjQMVzp9aBR3mIiEsEAQYBSABEgJv3_D_BwE" TargetMode="External"/><Relationship Id="rId14" Type="http://schemas.openxmlformats.org/officeDocument/2006/relationships/hyperlink" Target="https://www.byponto.com.br/bastao-de-ronda-vigia-blue-henry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amagli.com.br/products/super-lanterna-tatica-zoom-a-mais-poderosa-do-mundo?currency=BRL&amp;variant=44572029944115&amp;utm_source=google&amp;utm_medium=cpc&amp;utm_campaign=Google%20Shopping&amp;stkn=fd62c68294e8&amp;gad_source=4&amp;gad_campaignid=20818660543&amp;gbraid=0AAAAApTYclI2wX-1dCKTLhAaUvACLsQKw&amp;gclid=EAIaIQobChMI9veR56fJjQMV_WFIAB3kRgKDEAQYAiABEgLucvD_BwE" TargetMode="External"/><Relationship Id="rId18" Type="http://schemas.openxmlformats.org/officeDocument/2006/relationships/hyperlink" Target="https://www.ftmilitar.com.br/coldres-acessorios/coldre-de-cintura-concept?variant_id=2193&amp;parceiro=1&amp;srsltid=AfmBOoq5jqeMNFLu1KJnjAVbswTslvSnXUEl0acI62IaNdpNPoZ_pw0D_rs" TargetMode="External"/><Relationship Id="rId26" Type="http://schemas.openxmlformats.org/officeDocument/2006/relationships/hyperlink" Target="https://www.botaparanda.com.br/Tonfa_MIlitar_58" TargetMode="External"/><Relationship Id="rId39" Type="http://schemas.openxmlformats.org/officeDocument/2006/relationships/hyperlink" Target="https://www.prohunters.com.br/armas/armas-de-fogo/municao/municao-cbc-38spl-chog" TargetMode="External"/><Relationship Id="rId21" Type="http://schemas.openxmlformats.org/officeDocument/2006/relationships/hyperlink" Target="https://www.kalunga.com.br/prod/capa-para-chuva-adulto-pop-cores-sortidas-pp0118-proteja-se-pt-1-un/540536?srsltid=AfmBOopJck7ok5irQRNmMmHJDK2QarHq1WcUfjHpF_e-OzWBX-IXe9soEwU&amp;gStoreCode=kalunga96" TargetMode="External"/><Relationship Id="rId34" Type="http://schemas.openxmlformats.org/officeDocument/2006/relationships/hyperlink" Target="https://loja.niorysport.com/produtos/cordao-para-apito-grande-scalibu/?variant=1135549044&amp;pf=mc&amp;srsltid=AfmBOorFybs9DGgJYMBG3aC_qHokESsRyUX9ctoUrHICDd2YscfqpHECWZA" TargetMode="External"/><Relationship Id="rId42" Type="http://schemas.openxmlformats.org/officeDocument/2006/relationships/hyperlink" Target="https://loja.gassentiro.com.br/municao-cbc-38-spl-expo-p-gold-hex-125-gr-blst-c10" TargetMode="External"/><Relationship Id="rId7" Type="http://schemas.openxmlformats.org/officeDocument/2006/relationships/hyperlink" Target="https://www.oceanob2b.com/livro-de-atas-sem-margem-sao-domingos-oceano-b2b-p996288?srsltid=AfmBOooFKN4g4Vcr45eHWD1bOFEl4PAXCvDU3RmZtAL8-ecqOJu87B-kYNk" TargetMode="External"/><Relationship Id="rId2" Type="http://schemas.openxmlformats.org/officeDocument/2006/relationships/hyperlink" Target="https://www.militarbrasil.com.br/loja/linha-tatica/775-apito-rocket-plastico-grande-mm55.html" TargetMode="External"/><Relationship Id="rId16" Type="http://schemas.openxmlformats.org/officeDocument/2006/relationships/hyperlink" Target="https://armamentosbrasil.com/produto/revolver-taurus-rt88-cal-38-spl-6-tiros-cano-3-cabo-borracha-oxidado/" TargetMode="External"/><Relationship Id="rId20" Type="http://schemas.openxmlformats.org/officeDocument/2006/relationships/hyperlink" Target="https://www.superepi.com.br/capa-de-chuva-em-pvc-maicol-p1046442?tsid=16&amp;gad_source=1&amp;gad_campaignid=21853979022&amp;gbraid=0AAAAADtYNEp1946EuPPMlMCE4waMPJtZY&amp;gclid=EAIaIQobChMI_ZauvKXLjQMVWKNaBR09XAysEAQYASABEgIZffD_BwE" TargetMode="External"/><Relationship Id="rId29" Type="http://schemas.openxmlformats.org/officeDocument/2006/relationships/hyperlink" Target="https://couroart.com.br/produto/porta-cassetete-em-couro/" TargetMode="External"/><Relationship Id="rId41" Type="http://schemas.openxmlformats.org/officeDocument/2006/relationships/hyperlink" Target="https://armas.beartac.com.br/p/municao-38-spl-p-expo-125gr-gold-10-municoes-cbc/" TargetMode="External"/><Relationship Id="rId1" Type="http://schemas.openxmlformats.org/officeDocument/2006/relationships/hyperlink" Target="https://couroart.com.br/produto/cassetete-ostensivo/?srsltid=AfmBOopQvikHcHwWTnmuwjPP-wJ1_zGywl2UloQnxEA3PzlifRH1od_0" TargetMode="External"/><Relationship Id="rId6" Type="http://schemas.openxmlformats.org/officeDocument/2006/relationships/hyperlink" Target="https://www.lojapramil.com.br/lanterna-corvus-u2-invictus" TargetMode="External"/><Relationship Id="rId11" Type="http://schemas.openxmlformats.org/officeDocument/2006/relationships/hyperlink" Target="https://www.crhequipamentos.com.br/coletes-balisticos/colete-balistico-policial-uso-dissimulado-nivel-balistico-ii-a-ii-e-iii-a" TargetMode="External"/><Relationship Id="rId24" Type="http://schemas.openxmlformats.org/officeDocument/2006/relationships/hyperlink" Target="https://www.fg.com.br/bota-de-pvc-cano-medio-com-forro-preta-com-solado-amarelo---vonder/p?idsku=1128467&amp;srsltid=AfmBOooDJOpkDKk_tdi75nfwmDexKHuLjUviPfQmWsiZPEbKUgN_GGM6a0Q" TargetMode="External"/><Relationship Id="rId32" Type="http://schemas.openxmlformats.org/officeDocument/2006/relationships/hyperlink" Target="https://www.digaspi.com.br/apito-plastico-grande-penalty-50019/p?srsltid=AfmBOoo0LHeX5NG4MnnvMFNwA3_vVoRwc1xrcFCLFrQBgpNto31XWZPlxzs" TargetMode="External"/><Relationship Id="rId37" Type="http://schemas.openxmlformats.org/officeDocument/2006/relationships/hyperlink" Target="https://www.leroymerlin.com.br/bota-pvc-preta-cano-medio-com-forro-41--vonder_1570079794?region=outros&amp;srsltid=AfmBOor4NjD-sfWapMP0qZBUojnZcF67FisvzxO4YpP7nn9KhMC_A4cXFn8" TargetMode="External"/><Relationship Id="rId40" Type="http://schemas.openxmlformats.org/officeDocument/2006/relationships/hyperlink" Target="https://www.lojaskclube.com/municoes/calibre-38-tpc/municao-cbc-calibre-38-tpc-etog-124gr-caixa-50un-p1035666" TargetMode="External"/><Relationship Id="rId5" Type="http://schemas.openxmlformats.org/officeDocument/2006/relationships/hyperlink" Target="https://www.vigilanteshop.com.br/produtos/fiel-simples-trancado-pro-e/" TargetMode="External"/><Relationship Id="rId15" Type="http://schemas.openxmlformats.org/officeDocument/2006/relationships/hyperlink" Target="https://loja.ponto40clube.com.br/produtos/pistola-taurus-g2c-t-o-r-o-38-tpc-326-carbono-fosco/" TargetMode="External"/><Relationship Id="rId23" Type="http://schemas.openxmlformats.org/officeDocument/2006/relationships/hyperlink" Target="https://www.dutramaquinas.com.br/p/bota-de-pvc-preta-com-solado-amarelo-cano-medio-com-forro-70-79-390-000?srsltid=AfmBOoqv3ThsWHt2l9x0PdRzBg5bcNWg7iEW9lr1NI4cEq5tZmskdDaGoH0" TargetMode="External"/><Relationship Id="rId28" Type="http://schemas.openxmlformats.org/officeDocument/2006/relationships/hyperlink" Target="https://www.militarbrasil.com.br/loja/porta-acessorios/990-porta-cassetete-k-12---preto.html" TargetMode="External"/><Relationship Id="rId36" Type="http://schemas.openxmlformats.org/officeDocument/2006/relationships/hyperlink" Target="https://www.kalunga.com.br/prod/caneta-esferografica-0-7mm-preta-spiro-glow-52-0636-cis-1-un/176190" TargetMode="External"/><Relationship Id="rId10" Type="http://schemas.openxmlformats.org/officeDocument/2006/relationships/hyperlink" Target="https://www.acasadasartes.com.br/caneta-esferografica-0-7mm-compactor?parceiro=3896&amp;variant_id=10875&amp;srsltid=AfmBOorr1EGKq_ap9lQjT-3CQxa90SszTSIzRPFtcCq1VRcVcrN9dah803Q" TargetMode="External"/><Relationship Id="rId19" Type="http://schemas.openxmlformats.org/officeDocument/2006/relationships/hyperlink" Target="https://www.milicopadrao.com.br/coldre-striker-i-paddle-beretta-apx-preto-destro?utm_source=shopping&amp;utm_medium=ads&amp;utm_campaign=coldre-striker-i-paddle-beretta-apx-preto-destro&amp;inStock&amp;gad_source=1&amp;gclid=CjwKCAjwoa2xBhACEiwA1sb1BKkgYoEpJudxY-T0fAMOrenBFgzI7iikulTpYBXStTyMAPOlQoqOdBoCY58QAvD_BwE" TargetMode="External"/><Relationship Id="rId31" Type="http://schemas.openxmlformats.org/officeDocument/2006/relationships/hyperlink" Target="https://www.almoxmilitar.com.br/diversos/apitos/apito-55mm?parceiro=3019&amp;variant_id=415&amp;srsltid=AfmBOorjAXAsNkC7_wbeGCWo6nDrlUs5TGIatKXXxSiRwPx9CKTVLxJhOaw" TargetMode="External"/><Relationship Id="rId4" Type="http://schemas.openxmlformats.org/officeDocument/2006/relationships/hyperlink" Target="https://www.botaparanda.com.br/none-84982545" TargetMode="External"/><Relationship Id="rId9" Type="http://schemas.openxmlformats.org/officeDocument/2006/relationships/hyperlink" Target="https://www.oceanob2b.com/caneta-esferografica-bic-cristal-unidade-azul-p999866" TargetMode="External"/><Relationship Id="rId14" Type="http://schemas.openxmlformats.org/officeDocument/2006/relationships/hyperlink" Target="https://www.lojaskclube.com/armas-de-fogo/pistolas/pistola-taurus-g2c-toro-calibre-38-tpc-cano-326-oxidado-p1035591" TargetMode="External"/><Relationship Id="rId22" Type="http://schemas.openxmlformats.org/officeDocument/2006/relationships/hyperlink" Target="https://www.astrodistribuidora.com/capa-de-chuva-de-pvc-sem-forro-manga-longa-linha-economica-maicol?gad_source=1&amp;gclid=CjwKCAjwoa2xBhACEiwA1sb1BCjYq3SHdnQji1tmN0AAgiPQ9N8W2agZ81S-ZLvTaGaLb45noF__1hoCvFEQAvD_BwE" TargetMode="External"/><Relationship Id="rId27" Type="http://schemas.openxmlformats.org/officeDocument/2006/relationships/hyperlink" Target="https://www.militarbrasil.com.br/loja/defesa-pessoal-e-protecao/2097-cassetete-40-cm-fibra.html" TargetMode="External"/><Relationship Id="rId30" Type="http://schemas.openxmlformats.org/officeDocument/2006/relationships/hyperlink" Target="https://estilotaticoloja.mercadoshops.com.br/MLB-696631475-porta-tonfa-em-polimero-policia-escolta-seguranca-_JM?highlight=false&amp;headerTopBrand=false" TargetMode="External"/><Relationship Id="rId35" Type="http://schemas.openxmlformats.org/officeDocument/2006/relationships/hyperlink" Target="https://invictus.com.br/products/lanterna-tatica-sirius-800-lumens?variant=51696063086910&amp;country=BR&#164;cy=BRL&amp;utm_medium=product_sync&amp;utm_source=google&amp;utm_content=sag_organic&amp;utm_campaign=sag_organic&amp;srsltid=AfmBOoqbTEzTXJ9lqAeQu0mzH4oZ_tcUvO94LhUA0IsZjX4uhlTv6FhWO-8&amp;gPromoCode=PRIMEIRA10" TargetMode="External"/><Relationship Id="rId43" Type="http://schemas.openxmlformats.org/officeDocument/2006/relationships/drawing" Target="../drawings/drawing3.xml"/><Relationship Id="rId8" Type="http://schemas.openxmlformats.org/officeDocument/2006/relationships/hyperlink" Target="https://www.kalunga.com.br/prod/livro-ata-sem-margem-100-folhas-brief-cinza-spiral-pt-1-un/761320?srsltid=AfmBOorLS9kAVBt1Au6Cx5QbGK1pXVMNB923IDZLmzHGU7HfyE3k9xvP4Zo" TargetMode="External"/><Relationship Id="rId3" Type="http://schemas.openxmlformats.org/officeDocument/2006/relationships/hyperlink" Target="https://www.milicopadrao.com.br/apito-tatico-55mm-preto" TargetMode="External"/><Relationship Id="rId12" Type="http://schemas.openxmlformats.org/officeDocument/2006/relationships/hyperlink" Target="https://www.comercialnativa.com.br/product-page/colete-bal%C3%ADstico-t%C3%A1tico-n%C3%ADvel-iia" TargetMode="External"/><Relationship Id="rId17" Type="http://schemas.openxmlformats.org/officeDocument/2006/relationships/hyperlink" Target="https://www.lojawwart.com.br/kit-coldre-tatico-de-cintura-universal-cinto-na?utm_source=Site&amp;utm_medium=GoogleMerchant&amp;utm_campaign=GoogleMerchant&amp;sku=KW09P&amp;srsltid=AfmBOoq2h1TqeyCfTrcgO4kVbuF1DBONz4DHnjWNFpnsHVrZM1hKlnvgZMc" TargetMode="External"/><Relationship Id="rId25" Type="http://schemas.openxmlformats.org/officeDocument/2006/relationships/hyperlink" Target="https://estilotaticoloja.mercadoshops.com.br/MLB-702481283-cassetete-de-60-cm-bci60-_JM" TargetMode="External"/><Relationship Id="rId33" Type="http://schemas.openxmlformats.org/officeDocument/2006/relationships/hyperlink" Target="https://www.magazineluiza.com.br/cordao-de-pescoco-para-apito-rocket/p/ck5f0gc03h/es/apts/?seller_id=comercialdeepismagazinedoepi&amp;srsltid=AfmBOopcdo9l3JXU9ODO_yz996FgNzJnBnC2lAWaeaizQKfgwPCjSkr-iD8" TargetMode="External"/><Relationship Id="rId38" Type="http://schemas.openxmlformats.org/officeDocument/2006/relationships/hyperlink" Target="https://gunshopbrasil.com/produto/revolver-taurus-imperador-38-spl-5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76"/>
  <sheetViews>
    <sheetView showGridLines="0" topLeftCell="A8" zoomScale="90" zoomScaleNormal="90" workbookViewId="0">
      <selection activeCell="M170" sqref="M170:M175"/>
    </sheetView>
  </sheetViews>
  <sheetFormatPr defaultColWidth="9.140625" defaultRowHeight="15"/>
  <cols>
    <col min="1" max="1" width="5.5703125" style="9" bestFit="1" customWidth="1"/>
    <col min="2" max="2" width="5.42578125" style="9" bestFit="1" customWidth="1"/>
    <col min="3" max="3" width="4.5703125" style="17" customWidth="1"/>
    <col min="4" max="4" width="12.28515625" style="112" customWidth="1"/>
    <col min="5" max="5" width="4.85546875" style="112" customWidth="1"/>
    <col min="6" max="6" width="8.5703125" style="112" customWidth="1"/>
    <col min="7" max="7" width="62.5703125" style="9" customWidth="1"/>
    <col min="8" max="8" width="69.28515625" style="17" customWidth="1"/>
    <col min="9" max="9" width="7.85546875" style="98" customWidth="1"/>
    <col min="10" max="10" width="8" style="17" customWidth="1"/>
    <col min="11" max="11" width="4.140625" style="17" customWidth="1"/>
    <col min="12" max="12" width="7.42578125" style="17" bestFit="1" customWidth="1"/>
    <col min="13" max="13" width="13.28515625" style="17" customWidth="1"/>
    <col min="14" max="14" width="8.42578125" style="17" customWidth="1"/>
    <col min="15" max="15" width="2.5703125" style="17" customWidth="1"/>
    <col min="16" max="16" width="13.7109375" style="9" customWidth="1"/>
    <col min="17" max="17" width="1.7109375" style="1" customWidth="1"/>
    <col min="18" max="16384" width="9.140625" style="1"/>
  </cols>
  <sheetData>
    <row r="1" spans="1:18" ht="33" customHeight="1">
      <c r="A1" s="302"/>
      <c r="B1" s="302"/>
      <c r="C1" s="302"/>
      <c r="D1" s="302"/>
      <c r="E1" s="303"/>
      <c r="F1" s="304" t="s">
        <v>0</v>
      </c>
      <c r="G1" s="305"/>
      <c r="H1" s="305"/>
      <c r="I1" s="306" t="s">
        <v>1</v>
      </c>
      <c r="J1" s="307"/>
      <c r="K1" s="307"/>
      <c r="L1" s="307"/>
      <c r="M1" s="307"/>
      <c r="N1" s="308"/>
      <c r="P1" s="35"/>
    </row>
    <row r="2" spans="1:18" ht="12" customHeight="1">
      <c r="A2" s="260" t="s">
        <v>2</v>
      </c>
      <c r="B2" s="261"/>
      <c r="C2" s="261"/>
      <c r="D2" s="261"/>
      <c r="E2" s="262"/>
      <c r="F2" s="260" t="s">
        <v>3</v>
      </c>
      <c r="G2" s="261"/>
      <c r="H2" s="261"/>
      <c r="I2" s="260" t="s">
        <v>4</v>
      </c>
      <c r="J2" s="261"/>
      <c r="K2" s="261"/>
      <c r="L2" s="262"/>
      <c r="M2" s="260" t="s">
        <v>5</v>
      </c>
      <c r="N2" s="262"/>
      <c r="P2" s="36"/>
    </row>
    <row r="3" spans="1:18" ht="15" customHeight="1">
      <c r="A3" s="263"/>
      <c r="B3" s="264"/>
      <c r="C3" s="264"/>
      <c r="D3" s="264"/>
      <c r="E3" s="265"/>
      <c r="F3" s="269" t="s">
        <v>6</v>
      </c>
      <c r="G3" s="270"/>
      <c r="H3" s="270"/>
      <c r="I3" s="269" t="s">
        <v>7</v>
      </c>
      <c r="J3" s="270"/>
      <c r="K3" s="270"/>
      <c r="L3" s="273"/>
      <c r="M3" s="271" t="s">
        <v>8</v>
      </c>
      <c r="N3" s="274"/>
      <c r="P3" s="36"/>
    </row>
    <row r="4" spans="1:18" ht="15" customHeight="1">
      <c r="A4" s="266"/>
      <c r="B4" s="267"/>
      <c r="C4" s="267"/>
      <c r="D4" s="267"/>
      <c r="E4" s="268"/>
      <c r="F4" s="271"/>
      <c r="G4" s="272"/>
      <c r="H4" s="272"/>
      <c r="I4" s="271"/>
      <c r="J4" s="272"/>
      <c r="K4" s="272"/>
      <c r="L4" s="274"/>
      <c r="M4" s="275" t="s">
        <v>9</v>
      </c>
      <c r="N4" s="276"/>
      <c r="P4" s="36"/>
    </row>
    <row r="5" spans="1:18" ht="24" customHeight="1">
      <c r="A5" s="4" t="s">
        <v>10</v>
      </c>
      <c r="B5" s="4" t="s">
        <v>11</v>
      </c>
      <c r="C5" s="4" t="s">
        <v>12</v>
      </c>
      <c r="D5" s="5" t="s">
        <v>13</v>
      </c>
      <c r="E5" s="310" t="s">
        <v>14</v>
      </c>
      <c r="F5" s="310"/>
      <c r="G5" s="24" t="s">
        <v>15</v>
      </c>
      <c r="H5" s="24" t="s">
        <v>16</v>
      </c>
      <c r="I5" s="4" t="s">
        <v>17</v>
      </c>
      <c r="J5" s="4" t="s">
        <v>18</v>
      </c>
      <c r="K5" s="4"/>
      <c r="L5" s="4" t="s">
        <v>19</v>
      </c>
      <c r="M5" s="4" t="s">
        <v>20</v>
      </c>
      <c r="N5" s="4" t="s">
        <v>21</v>
      </c>
      <c r="P5" s="36"/>
    </row>
    <row r="6" spans="1:18" ht="15" customHeight="1">
      <c r="A6" s="311"/>
      <c r="B6" s="311">
        <v>1</v>
      </c>
      <c r="C6" s="312"/>
      <c r="D6" s="68" t="s">
        <v>22</v>
      </c>
      <c r="E6" s="296">
        <v>45607</v>
      </c>
      <c r="F6" s="297"/>
      <c r="G6" s="71" t="s">
        <v>23</v>
      </c>
      <c r="H6" s="106" t="s">
        <v>24</v>
      </c>
      <c r="I6" s="6">
        <v>501</v>
      </c>
      <c r="J6" s="7">
        <f t="shared" ref="J6:J11" si="0">IF(AND((STDEV(I$6:I$11)/AVERAGE(I$6:I$11))&lt;=0.25,ISNUMBER(I6)),I6,IF(AND(I6&lt;=(AVERAGE(I$6:I$11)+STDEV(I$6:I$11)),I6&gt;=(AVERAGE(I$6:I$11)-STDEV(I$6:I$11)),ISNUMBER(I6)),I6,""))</f>
        <v>501</v>
      </c>
      <c r="K6" s="8" t="str">
        <f t="shared" ref="K6:K11" si="1">IF(I6="","",IF(AND(COUNT(I$6:I$11)=1,ISNUMBER(I6)),"Sim",IF(AND((STDEV(J$6:J$11)/AVERAGE(J$6:J$11))&lt;0.25,ISNUMBER(J6)),"Sim",IF(AND(J6&lt;=(AVERAGE(J$6:J$11)+STDEV(J$6:J$11)),J6&gt;=(AVERAGE(J$6:J$11)-STDEV(J$6:J$11)),ISNUMBER(J6)),"Sim","Não"))))</f>
        <v>Sim</v>
      </c>
      <c r="L6" s="8">
        <f t="shared" ref="L6:L11" si="2">IF(K6="Sim",J6,"")</f>
        <v>501</v>
      </c>
      <c r="M6" s="281">
        <f>IF(I6="","",ROUND(IF(COUNT(I6:I11)=1,I6,IF((COUNT(L6:L11)&lt;3),MIN(L6:L11),AVERAGE(L6:L11))),2))</f>
        <v>387</v>
      </c>
      <c r="N6" s="309">
        <f>IF(M6="","",C6*M6)</f>
        <v>0</v>
      </c>
      <c r="P6" s="317"/>
      <c r="R6" s="316"/>
    </row>
    <row r="7" spans="1:18" ht="15" customHeight="1">
      <c r="A7" s="311"/>
      <c r="B7" s="311"/>
      <c r="C7" s="312"/>
      <c r="D7" s="26" t="s">
        <v>25</v>
      </c>
      <c r="E7" s="296">
        <v>45686</v>
      </c>
      <c r="F7" s="313"/>
      <c r="G7" s="72" t="s">
        <v>26</v>
      </c>
      <c r="H7" s="70" t="s">
        <v>27</v>
      </c>
      <c r="I7" s="6">
        <v>358.99</v>
      </c>
      <c r="J7" s="7">
        <f t="shared" si="0"/>
        <v>358.99</v>
      </c>
      <c r="K7" s="8" t="str">
        <f t="shared" si="1"/>
        <v>Sim</v>
      </c>
      <c r="L7" s="8">
        <f t="shared" si="2"/>
        <v>358.99</v>
      </c>
      <c r="M7" s="281"/>
      <c r="N7" s="309"/>
      <c r="P7" s="317"/>
      <c r="R7" s="316"/>
    </row>
    <row r="8" spans="1:18" ht="15" customHeight="1">
      <c r="A8" s="311"/>
      <c r="B8" s="311"/>
      <c r="C8" s="312"/>
      <c r="D8" s="18" t="s">
        <v>28</v>
      </c>
      <c r="E8" s="314" t="s">
        <v>29</v>
      </c>
      <c r="F8" s="296"/>
      <c r="G8" s="69" t="s">
        <v>30</v>
      </c>
      <c r="H8" s="27" t="s">
        <v>31</v>
      </c>
      <c r="I8" s="6">
        <v>299</v>
      </c>
      <c r="J8" s="7">
        <f>IF(AND((STDEV(I$6:I$11)/AVERAGE(I$6:I$11))&lt;=0.25,ISNUMBER(I8)),I8,IF(AND(I8&lt;=(AVERAGE(I$6:I$11)+STDEV(I$6:I$11)),I8&gt;=(AVERAGE(I$6:I$11)-STDEV(I$6:I$11)),ISNUMBER(I8)),I8,""))</f>
        <v>299</v>
      </c>
      <c r="K8" s="8" t="str">
        <f t="shared" si="1"/>
        <v>Sim</v>
      </c>
      <c r="L8" s="8">
        <f t="shared" si="2"/>
        <v>299</v>
      </c>
      <c r="M8" s="281"/>
      <c r="N8" s="309"/>
      <c r="P8" s="317"/>
      <c r="R8" s="316"/>
    </row>
    <row r="9" spans="1:18" ht="15" customHeight="1">
      <c r="A9" s="311"/>
      <c r="B9" s="311"/>
      <c r="C9" s="312"/>
      <c r="D9" s="18" t="s">
        <v>32</v>
      </c>
      <c r="E9" s="296">
        <v>45807</v>
      </c>
      <c r="F9" s="297"/>
      <c r="G9" s="107" t="s">
        <v>33</v>
      </c>
      <c r="H9" s="108" t="s">
        <v>34</v>
      </c>
      <c r="I9" s="6">
        <v>389</v>
      </c>
      <c r="J9" s="7">
        <f t="shared" si="0"/>
        <v>389</v>
      </c>
      <c r="K9" s="8" t="str">
        <f t="shared" si="1"/>
        <v>Sim</v>
      </c>
      <c r="L9" s="8">
        <f t="shared" si="2"/>
        <v>389</v>
      </c>
      <c r="M9" s="281"/>
      <c r="N9" s="309"/>
      <c r="P9" s="317"/>
      <c r="R9" s="316"/>
    </row>
    <row r="10" spans="1:18" ht="15" customHeight="1">
      <c r="A10" s="311"/>
      <c r="B10" s="311"/>
      <c r="C10" s="312"/>
      <c r="D10" s="18" t="s">
        <v>32</v>
      </c>
      <c r="E10" s="286">
        <v>45807</v>
      </c>
      <c r="F10" s="287"/>
      <c r="G10" s="109" t="s">
        <v>35</v>
      </c>
      <c r="H10" s="28" t="s">
        <v>36</v>
      </c>
      <c r="I10" s="6">
        <v>899.9</v>
      </c>
      <c r="J10" s="7" t="str">
        <f t="shared" si="0"/>
        <v/>
      </c>
      <c r="K10" s="8" t="str">
        <f t="shared" si="1"/>
        <v>Não</v>
      </c>
      <c r="L10" s="8" t="str">
        <f>IF(K10="Sim",J10,"")</f>
        <v/>
      </c>
      <c r="M10" s="281"/>
      <c r="N10" s="309"/>
      <c r="P10" s="317"/>
      <c r="R10" s="316"/>
    </row>
    <row r="11" spans="1:18" ht="15" customHeight="1">
      <c r="A11" s="311"/>
      <c r="B11" s="311"/>
      <c r="C11" s="312"/>
      <c r="D11" s="18" t="s">
        <v>32</v>
      </c>
      <c r="E11" s="286">
        <v>45807</v>
      </c>
      <c r="F11" s="287"/>
      <c r="G11" s="109" t="s">
        <v>37</v>
      </c>
      <c r="H11" s="28" t="s">
        <v>38</v>
      </c>
      <c r="I11" s="6">
        <v>770</v>
      </c>
      <c r="J11" s="7">
        <f t="shared" si="0"/>
        <v>770</v>
      </c>
      <c r="K11" s="8" t="str">
        <f t="shared" si="1"/>
        <v>Não</v>
      </c>
      <c r="L11" s="8" t="str">
        <f t="shared" si="2"/>
        <v/>
      </c>
      <c r="M11" s="281"/>
      <c r="N11" s="309"/>
      <c r="P11" s="317"/>
      <c r="R11" s="316"/>
    </row>
    <row r="12" spans="1:18" ht="15" customHeight="1">
      <c r="C12" s="10"/>
      <c r="D12" s="11"/>
      <c r="E12" s="40"/>
      <c r="F12" s="40"/>
      <c r="G12" s="110"/>
      <c r="H12" s="20"/>
      <c r="I12" s="97"/>
      <c r="J12" s="14"/>
      <c r="K12" s="15"/>
      <c r="L12" s="15"/>
      <c r="M12" s="16"/>
      <c r="N12" s="16"/>
      <c r="P12" s="36"/>
      <c r="R12" s="2"/>
    </row>
    <row r="13" spans="1:18">
      <c r="C13" s="10"/>
      <c r="D13" s="11"/>
      <c r="E13" s="11"/>
      <c r="F13" s="11"/>
      <c r="G13" s="12"/>
      <c r="H13" s="12"/>
      <c r="I13" s="97"/>
      <c r="J13" s="14"/>
      <c r="K13" s="15"/>
      <c r="L13" s="15"/>
      <c r="M13" s="16"/>
      <c r="N13" s="16"/>
      <c r="P13" s="37"/>
    </row>
    <row r="14" spans="1:18" ht="15" customHeight="1">
      <c r="A14" s="260" t="s">
        <v>2</v>
      </c>
      <c r="B14" s="261"/>
      <c r="C14" s="261"/>
      <c r="D14" s="261"/>
      <c r="E14" s="262"/>
      <c r="F14" s="260" t="s">
        <v>3</v>
      </c>
      <c r="G14" s="261"/>
      <c r="H14" s="261"/>
      <c r="I14" s="260" t="s">
        <v>4</v>
      </c>
      <c r="J14" s="261"/>
      <c r="K14" s="261"/>
      <c r="L14" s="262"/>
      <c r="M14" s="260" t="s">
        <v>5</v>
      </c>
      <c r="N14" s="262"/>
      <c r="P14" s="37"/>
    </row>
    <row r="15" spans="1:18" ht="15" customHeight="1">
      <c r="A15" s="263"/>
      <c r="B15" s="264"/>
      <c r="C15" s="264"/>
      <c r="D15" s="264"/>
      <c r="E15" s="265"/>
      <c r="F15" s="269" t="s">
        <v>39</v>
      </c>
      <c r="G15" s="270"/>
      <c r="H15" s="270"/>
      <c r="I15" s="269" t="s">
        <v>7</v>
      </c>
      <c r="J15" s="270"/>
      <c r="K15" s="270"/>
      <c r="L15" s="273"/>
      <c r="M15" s="271" t="s">
        <v>8</v>
      </c>
      <c r="N15" s="274"/>
      <c r="P15" s="37"/>
    </row>
    <row r="16" spans="1:18" ht="19.5" customHeight="1">
      <c r="A16" s="266"/>
      <c r="B16" s="267"/>
      <c r="C16" s="267"/>
      <c r="D16" s="267"/>
      <c r="E16" s="268"/>
      <c r="F16" s="271"/>
      <c r="G16" s="272"/>
      <c r="H16" s="272"/>
      <c r="I16" s="271"/>
      <c r="J16" s="272"/>
      <c r="K16" s="272"/>
      <c r="L16" s="274"/>
      <c r="M16" s="275" t="s">
        <v>9</v>
      </c>
      <c r="N16" s="276"/>
      <c r="P16" s="36"/>
    </row>
    <row r="17" spans="1:18" ht="24" customHeight="1">
      <c r="A17" s="4" t="s">
        <v>10</v>
      </c>
      <c r="B17" s="4" t="s">
        <v>11</v>
      </c>
      <c r="C17" s="4" t="s">
        <v>12</v>
      </c>
      <c r="D17" s="5" t="s">
        <v>13</v>
      </c>
      <c r="E17" s="277" t="s">
        <v>14</v>
      </c>
      <c r="F17" s="277"/>
      <c r="G17" s="24" t="s">
        <v>15</v>
      </c>
      <c r="H17" s="24" t="s">
        <v>16</v>
      </c>
      <c r="I17" s="4" t="s">
        <v>17</v>
      </c>
      <c r="J17" s="4" t="s">
        <v>18</v>
      </c>
      <c r="K17" s="4"/>
      <c r="L17" s="4" t="s">
        <v>19</v>
      </c>
      <c r="M17" s="4" t="s">
        <v>20</v>
      </c>
      <c r="N17" s="4" t="s">
        <v>21</v>
      </c>
      <c r="P17" s="36"/>
    </row>
    <row r="18" spans="1:18" ht="15" customHeight="1">
      <c r="A18" s="278"/>
      <c r="B18" s="278">
        <v>2</v>
      </c>
      <c r="C18" s="279"/>
      <c r="D18" s="74" t="s">
        <v>40</v>
      </c>
      <c r="E18" s="298" t="s">
        <v>41</v>
      </c>
      <c r="F18" s="298"/>
      <c r="G18" s="74" t="s">
        <v>42</v>
      </c>
      <c r="H18" s="74" t="s">
        <v>43</v>
      </c>
      <c r="I18" s="75">
        <v>100</v>
      </c>
      <c r="J18" s="76" t="str">
        <f>IF(AND((STDEV(I$18:I$22)/AVERAGE(I$18:I$22))&lt;=0.25,ISNUMBER(I18)),I18,IF(AND(I18&lt;=(AVERAGE(I$18:I$22)+STDEV(I$18:I$22)),I18&gt;=(AVERAGE(I$18:I$22)-STDEV(I$18:I$22)),ISNUMBER(I18)),I18,""))</f>
        <v/>
      </c>
      <c r="K18" s="77" t="str">
        <f>IF(I18="","",IF(AND(COUNT(I$18:I$22)=1,ISNUMBER(I18)),"Sim",IF(AND((STDEV(J$18:J$22)/AVERAGE(J$18:J$22))&lt;0.25,ISNUMBER(J18)),"Sim",IF(AND(J18&lt;=(AVERAGE(J$18:J$22)+STDEV(J$18:J$22)),J18&gt;=(AVERAGE(J$18:J$22)-STDEV(J$18:J$22)),ISNUMBER(J18)),"Sim","Não"))))</f>
        <v>Não</v>
      </c>
      <c r="L18" s="77" t="str">
        <f>IF(K18="Sim",J18,"")</f>
        <v/>
      </c>
      <c r="M18" s="281">
        <f>IF(I18="","",ROUND(IF(COUNT(I18:I22)=1,I18,IF((COUNT(L18:L22)&lt;3),MIN(L18:L22),AVERAGE(L18:L22))),2))</f>
        <v>159.99</v>
      </c>
      <c r="N18" s="282">
        <f>IF(M18="","",C18*M18)</f>
        <v>0</v>
      </c>
      <c r="P18" s="317"/>
      <c r="R18" s="316"/>
    </row>
    <row r="19" spans="1:18" ht="15" customHeight="1">
      <c r="A19" s="278"/>
      <c r="B19" s="278"/>
      <c r="C19" s="279"/>
      <c r="D19" s="78" t="s">
        <v>44</v>
      </c>
      <c r="E19" s="294" t="s">
        <v>45</v>
      </c>
      <c r="F19" s="298"/>
      <c r="G19" s="79" t="s">
        <v>26</v>
      </c>
      <c r="H19" s="81" t="s">
        <v>46</v>
      </c>
      <c r="I19" s="75">
        <v>103.9</v>
      </c>
      <c r="J19" s="76">
        <f t="shared" ref="J19:J22" si="3">IF(AND((STDEV(I$18:I$22)/AVERAGE(I$18:I$22))&lt;=0.25,ISNUMBER(I19)),I19,IF(AND(I19&lt;=(AVERAGE(I$18:I$22)+STDEV(I$18:I$22)),I19&gt;=(AVERAGE(I$18:I$22)-STDEV(I$18:I$22)),ISNUMBER(I19)),I19,""))</f>
        <v>103.9</v>
      </c>
      <c r="K19" s="77" t="str">
        <f t="shared" ref="K19:K22" si="4">IF(I19="","",IF(AND(COUNT(I$18:I$22)=1,ISNUMBER(I19)),"Sim",IF(AND((STDEV(J$18:J$22)/AVERAGE(J$18:J$22))&lt;0.25,ISNUMBER(J19)),"Sim",IF(AND(J19&lt;=(AVERAGE(J$18:J$22)+STDEV(J$18:J$22)),J19&gt;=(AVERAGE(J$18:J$22)-STDEV(J$18:J$22)),ISNUMBER(J19)),"Sim","Não"))))</f>
        <v>Não</v>
      </c>
      <c r="L19" s="77" t="str">
        <f t="shared" ref="L19:L22" si="5">IF(K19="Sim",J19,"")</f>
        <v/>
      </c>
      <c r="M19" s="281"/>
      <c r="N19" s="282"/>
      <c r="P19" s="317"/>
      <c r="R19" s="316"/>
    </row>
    <row r="20" spans="1:18" ht="15" customHeight="1">
      <c r="A20" s="278"/>
      <c r="B20" s="278"/>
      <c r="C20" s="279"/>
      <c r="D20" s="80" t="s">
        <v>32</v>
      </c>
      <c r="E20" s="286">
        <v>45807</v>
      </c>
      <c r="F20" s="287"/>
      <c r="G20" s="105" t="s">
        <v>47</v>
      </c>
      <c r="H20" s="82" t="s">
        <v>48</v>
      </c>
      <c r="I20" s="75">
        <v>199.99</v>
      </c>
      <c r="J20" s="76">
        <f t="shared" si="3"/>
        <v>199.99</v>
      </c>
      <c r="K20" s="77" t="str">
        <f t="shared" si="4"/>
        <v>Sim</v>
      </c>
      <c r="L20" s="77">
        <f t="shared" si="5"/>
        <v>199.99</v>
      </c>
      <c r="M20" s="281"/>
      <c r="N20" s="282"/>
      <c r="P20" s="317"/>
      <c r="R20" s="316"/>
    </row>
    <row r="21" spans="1:18" ht="15" customHeight="1">
      <c r="A21" s="278"/>
      <c r="B21" s="278"/>
      <c r="C21" s="279"/>
      <c r="D21" s="80" t="s">
        <v>32</v>
      </c>
      <c r="E21" s="286">
        <v>45807</v>
      </c>
      <c r="F21" s="287"/>
      <c r="G21" s="111" t="s">
        <v>49</v>
      </c>
      <c r="H21" s="80" t="s">
        <v>50</v>
      </c>
      <c r="I21" s="75">
        <v>159.99</v>
      </c>
      <c r="J21" s="76">
        <f t="shared" si="3"/>
        <v>159.99</v>
      </c>
      <c r="K21" s="77" t="str">
        <f t="shared" si="4"/>
        <v>Sim</v>
      </c>
      <c r="L21" s="77">
        <f t="shared" si="5"/>
        <v>159.99</v>
      </c>
      <c r="M21" s="281"/>
      <c r="N21" s="282"/>
      <c r="P21" s="317"/>
      <c r="R21" s="316"/>
    </row>
    <row r="22" spans="1:18" ht="15" customHeight="1">
      <c r="A22" s="278"/>
      <c r="B22" s="278"/>
      <c r="C22" s="279"/>
      <c r="D22" s="80" t="s">
        <v>32</v>
      </c>
      <c r="E22" s="286">
        <v>45807</v>
      </c>
      <c r="F22" s="287"/>
      <c r="G22" s="105" t="s">
        <v>51</v>
      </c>
      <c r="H22" s="73" t="s">
        <v>52</v>
      </c>
      <c r="I22" s="75">
        <v>219.99</v>
      </c>
      <c r="J22" s="76" t="str">
        <f t="shared" si="3"/>
        <v/>
      </c>
      <c r="K22" s="77" t="str">
        <f t="shared" si="4"/>
        <v>Não</v>
      </c>
      <c r="L22" s="77" t="str">
        <f t="shared" si="5"/>
        <v/>
      </c>
      <c r="M22" s="281"/>
      <c r="N22" s="282"/>
      <c r="P22" s="317"/>
      <c r="R22" s="316"/>
    </row>
    <row r="23" spans="1:18">
      <c r="P23" s="37"/>
    </row>
    <row r="24" spans="1:18" ht="12" customHeight="1">
      <c r="A24" s="260" t="s">
        <v>2</v>
      </c>
      <c r="B24" s="261"/>
      <c r="C24" s="261"/>
      <c r="D24" s="261"/>
      <c r="E24" s="262"/>
      <c r="F24" s="260" t="s">
        <v>3</v>
      </c>
      <c r="G24" s="261"/>
      <c r="H24" s="261"/>
      <c r="I24" s="260" t="s">
        <v>4</v>
      </c>
      <c r="J24" s="261"/>
      <c r="K24" s="261"/>
      <c r="L24" s="262"/>
      <c r="M24" s="260" t="s">
        <v>5</v>
      </c>
      <c r="N24" s="262"/>
      <c r="P24" s="36"/>
    </row>
    <row r="25" spans="1:18" ht="12" customHeight="1">
      <c r="A25" s="263"/>
      <c r="B25" s="264"/>
      <c r="C25" s="264"/>
      <c r="D25" s="264"/>
      <c r="E25" s="265"/>
      <c r="F25" s="269" t="s">
        <v>53</v>
      </c>
      <c r="G25" s="270"/>
      <c r="H25" s="270"/>
      <c r="I25" s="269" t="s">
        <v>7</v>
      </c>
      <c r="J25" s="270"/>
      <c r="K25" s="270"/>
      <c r="L25" s="273"/>
      <c r="M25" s="271" t="s">
        <v>8</v>
      </c>
      <c r="N25" s="274"/>
      <c r="P25" s="17"/>
    </row>
    <row r="26" spans="1:18" ht="15" customHeight="1">
      <c r="A26" s="266"/>
      <c r="B26" s="267"/>
      <c r="C26" s="267"/>
      <c r="D26" s="267"/>
      <c r="E26" s="268"/>
      <c r="F26" s="271"/>
      <c r="G26" s="272"/>
      <c r="H26" s="272"/>
      <c r="I26" s="271"/>
      <c r="J26" s="272"/>
      <c r="K26" s="272"/>
      <c r="L26" s="274"/>
      <c r="M26" s="275" t="s">
        <v>9</v>
      </c>
      <c r="N26" s="276"/>
      <c r="P26" s="37"/>
    </row>
    <row r="27" spans="1:18" ht="24" customHeight="1">
      <c r="A27" s="4" t="s">
        <v>10</v>
      </c>
      <c r="B27" s="4" t="s">
        <v>11</v>
      </c>
      <c r="C27" s="4" t="s">
        <v>12</v>
      </c>
      <c r="D27" s="5" t="s">
        <v>13</v>
      </c>
      <c r="E27" s="277" t="s">
        <v>14</v>
      </c>
      <c r="F27" s="277"/>
      <c r="G27" s="24" t="s">
        <v>15</v>
      </c>
      <c r="H27" s="24" t="s">
        <v>16</v>
      </c>
      <c r="I27" s="4" t="s">
        <v>17</v>
      </c>
      <c r="J27" s="4" t="s">
        <v>18</v>
      </c>
      <c r="K27" s="4"/>
      <c r="L27" s="4" t="s">
        <v>19</v>
      </c>
      <c r="M27" s="4" t="s">
        <v>20</v>
      </c>
      <c r="N27" s="4" t="s">
        <v>21</v>
      </c>
      <c r="P27" s="37"/>
    </row>
    <row r="28" spans="1:18">
      <c r="A28" s="278"/>
      <c r="B28" s="278">
        <v>3</v>
      </c>
      <c r="C28" s="279"/>
      <c r="D28" s="82" t="s">
        <v>54</v>
      </c>
      <c r="E28" s="280">
        <v>45560</v>
      </c>
      <c r="F28" s="280"/>
      <c r="G28" s="83" t="s">
        <v>55</v>
      </c>
      <c r="H28" s="83" t="s">
        <v>56</v>
      </c>
      <c r="I28" s="75">
        <v>28.9</v>
      </c>
      <c r="J28" s="76">
        <f t="shared" ref="J28:J33" si="6">IF(AND((STDEV(I$28:I$33)/AVERAGE(I$28:I$33))&lt;=0.25,ISNUMBER(I28)),I28,IF(AND(I28&lt;=(AVERAGE(I$28:I$33)+STDEV(I$28:I$33)),I28&gt;=(AVERAGE(I$28:I$33)-STDEV(I$28:I$33)),ISNUMBER(I28)),I28,""))</f>
        <v>28.9</v>
      </c>
      <c r="K28" s="77" t="str">
        <f t="shared" ref="K28:K33" si="7">IF(I28="","",IF(AND(COUNT(I$28:I$33)=1,ISNUMBER(I28)),"Sim",IF(AND((STDEV(J$28:J$33)/AVERAGE(J$28:J$33))&lt;0.25,ISNUMBER(J28)),"Sim",IF(AND(J28&lt;=(AVERAGE(J$28:J$33)+STDEV(J$28:J$33)),J28&gt;=(AVERAGE(J$28:J$33)-STDEV(J$28:J$33)),ISNUMBER(J28)),"Sim","Não"))))</f>
        <v>Não</v>
      </c>
      <c r="L28" s="77" t="str">
        <f t="shared" ref="L28:L33" si="8">IF(K28="Sim",J28,"")</f>
        <v/>
      </c>
      <c r="M28" s="281">
        <f>IF(I28="","",ROUND(IF(COUNT(I28:I33)=1,I28,IF((COUNT(L28:L33)&lt;3),MIN(L28:L33),AVERAGE(L28:L33))),2))</f>
        <v>38.9</v>
      </c>
      <c r="N28" s="282">
        <f>IF(M28="","",C28*M28)</f>
        <v>0</v>
      </c>
      <c r="P28" s="317"/>
      <c r="R28" s="316"/>
    </row>
    <row r="29" spans="1:18" ht="15" customHeight="1">
      <c r="A29" s="278"/>
      <c r="B29" s="278"/>
      <c r="C29" s="279"/>
      <c r="D29" s="83" t="s">
        <v>57</v>
      </c>
      <c r="E29" s="283">
        <v>45673</v>
      </c>
      <c r="F29" s="284"/>
      <c r="G29" s="82" t="s">
        <v>58</v>
      </c>
      <c r="H29" s="83" t="s">
        <v>59</v>
      </c>
      <c r="I29" s="75">
        <v>22.9</v>
      </c>
      <c r="J29" s="76" t="str">
        <f t="shared" si="6"/>
        <v/>
      </c>
      <c r="K29" s="77" t="str">
        <f t="shared" si="7"/>
        <v>Não</v>
      </c>
      <c r="L29" s="77" t="str">
        <f t="shared" si="8"/>
        <v/>
      </c>
      <c r="M29" s="281"/>
      <c r="N29" s="282"/>
      <c r="P29" s="317"/>
      <c r="R29" s="316"/>
    </row>
    <row r="30" spans="1:18" ht="15" customHeight="1">
      <c r="A30" s="278"/>
      <c r="B30" s="278"/>
      <c r="C30" s="279"/>
      <c r="D30" s="80" t="s">
        <v>32</v>
      </c>
      <c r="E30" s="286">
        <v>45807</v>
      </c>
      <c r="F30" s="287"/>
      <c r="G30" s="105" t="s">
        <v>60</v>
      </c>
      <c r="H30" s="82" t="s">
        <v>61</v>
      </c>
      <c r="I30" s="75">
        <v>69.989999999999995</v>
      </c>
      <c r="J30" s="76" t="str">
        <f t="shared" si="6"/>
        <v/>
      </c>
      <c r="K30" s="77" t="str">
        <f t="shared" si="7"/>
        <v>Não</v>
      </c>
      <c r="L30" s="77" t="str">
        <f t="shared" si="8"/>
        <v/>
      </c>
      <c r="M30" s="281"/>
      <c r="N30" s="282"/>
      <c r="P30" s="317"/>
      <c r="R30" s="316"/>
    </row>
    <row r="31" spans="1:18" ht="15" customHeight="1">
      <c r="A31" s="278"/>
      <c r="B31" s="278"/>
      <c r="C31" s="279"/>
      <c r="D31" s="80" t="s">
        <v>32</v>
      </c>
      <c r="E31" s="286">
        <v>45807</v>
      </c>
      <c r="F31" s="287"/>
      <c r="G31" s="105" t="s">
        <v>62</v>
      </c>
      <c r="H31" s="82" t="s">
        <v>63</v>
      </c>
      <c r="I31" s="75">
        <v>45.9</v>
      </c>
      <c r="J31" s="76">
        <f t="shared" si="6"/>
        <v>45.9</v>
      </c>
      <c r="K31" s="77" t="str">
        <f t="shared" si="7"/>
        <v>Sim</v>
      </c>
      <c r="L31" s="77">
        <f t="shared" si="8"/>
        <v>45.9</v>
      </c>
      <c r="M31" s="281"/>
      <c r="N31" s="282"/>
      <c r="P31" s="317"/>
      <c r="R31" s="316"/>
    </row>
    <row r="32" spans="1:18" ht="15" customHeight="1">
      <c r="A32" s="278"/>
      <c r="B32" s="278"/>
      <c r="C32" s="279"/>
      <c r="D32" s="80" t="s">
        <v>32</v>
      </c>
      <c r="E32" s="286">
        <v>45807</v>
      </c>
      <c r="F32" s="287"/>
      <c r="G32" s="105" t="s">
        <v>64</v>
      </c>
      <c r="H32" s="80" t="s">
        <v>65</v>
      </c>
      <c r="I32" s="75">
        <v>59.9</v>
      </c>
      <c r="J32" s="76">
        <f t="shared" si="6"/>
        <v>59.9</v>
      </c>
      <c r="K32" s="77" t="str">
        <f t="shared" si="7"/>
        <v>Não</v>
      </c>
      <c r="L32" s="77" t="str">
        <f t="shared" si="8"/>
        <v/>
      </c>
      <c r="M32" s="281"/>
      <c r="N32" s="282"/>
      <c r="P32" s="317"/>
      <c r="R32" s="316"/>
    </row>
    <row r="33" spans="1:18" ht="15" customHeight="1">
      <c r="A33" s="278"/>
      <c r="B33" s="278"/>
      <c r="C33" s="279"/>
      <c r="D33" s="80" t="s">
        <v>32</v>
      </c>
      <c r="E33" s="286">
        <v>45807</v>
      </c>
      <c r="F33" s="287"/>
      <c r="G33" s="105" t="s">
        <v>66</v>
      </c>
      <c r="H33" s="80" t="s">
        <v>67</v>
      </c>
      <c r="I33" s="75">
        <v>38.9</v>
      </c>
      <c r="J33" s="76">
        <f t="shared" si="6"/>
        <v>38.9</v>
      </c>
      <c r="K33" s="77" t="str">
        <f t="shared" si="7"/>
        <v>Sim</v>
      </c>
      <c r="L33" s="77">
        <f t="shared" si="8"/>
        <v>38.9</v>
      </c>
      <c r="M33" s="281"/>
      <c r="N33" s="282"/>
      <c r="P33" s="317"/>
      <c r="R33" s="316"/>
    </row>
    <row r="34" spans="1:18">
      <c r="P34" s="37"/>
    </row>
    <row r="35" spans="1:18" ht="13.5" customHeight="1">
      <c r="P35" s="36"/>
    </row>
    <row r="36" spans="1:18" ht="12" customHeight="1">
      <c r="A36" s="260" t="s">
        <v>2</v>
      </c>
      <c r="B36" s="261"/>
      <c r="C36" s="261"/>
      <c r="D36" s="261"/>
      <c r="E36" s="262"/>
      <c r="F36" s="260" t="s">
        <v>3</v>
      </c>
      <c r="G36" s="261"/>
      <c r="H36" s="261"/>
      <c r="I36" s="260" t="s">
        <v>4</v>
      </c>
      <c r="J36" s="261"/>
      <c r="K36" s="261"/>
      <c r="L36" s="262"/>
      <c r="M36" s="260" t="s">
        <v>5</v>
      </c>
      <c r="N36" s="262"/>
      <c r="P36" s="36"/>
    </row>
    <row r="37" spans="1:18" ht="12" customHeight="1">
      <c r="A37" s="263"/>
      <c r="B37" s="264"/>
      <c r="C37" s="264"/>
      <c r="D37" s="264"/>
      <c r="E37" s="265"/>
      <c r="F37" s="269" t="s">
        <v>68</v>
      </c>
      <c r="G37" s="270"/>
      <c r="H37" s="270"/>
      <c r="I37" s="269" t="s">
        <v>7</v>
      </c>
      <c r="J37" s="270"/>
      <c r="K37" s="270"/>
      <c r="L37" s="273"/>
      <c r="M37" s="271" t="s">
        <v>8</v>
      </c>
      <c r="N37" s="274"/>
      <c r="P37" s="17"/>
    </row>
    <row r="38" spans="1:18" ht="15" customHeight="1">
      <c r="A38" s="266"/>
      <c r="B38" s="267"/>
      <c r="C38" s="267"/>
      <c r="D38" s="267"/>
      <c r="E38" s="268"/>
      <c r="F38" s="271"/>
      <c r="G38" s="272"/>
      <c r="H38" s="272"/>
      <c r="I38" s="271"/>
      <c r="J38" s="272"/>
      <c r="K38" s="272"/>
      <c r="L38" s="274"/>
      <c r="M38" s="275" t="s">
        <v>9</v>
      </c>
      <c r="N38" s="276"/>
      <c r="P38" s="37"/>
    </row>
    <row r="39" spans="1:18" ht="24" customHeight="1">
      <c r="A39" s="4" t="s">
        <v>10</v>
      </c>
      <c r="B39" s="4" t="s">
        <v>11</v>
      </c>
      <c r="C39" s="4" t="s">
        <v>12</v>
      </c>
      <c r="D39" s="5" t="s">
        <v>13</v>
      </c>
      <c r="E39" s="277" t="s">
        <v>14</v>
      </c>
      <c r="F39" s="277"/>
      <c r="G39" s="24" t="s">
        <v>15</v>
      </c>
      <c r="H39" s="24" t="s">
        <v>16</v>
      </c>
      <c r="I39" s="4" t="s">
        <v>17</v>
      </c>
      <c r="J39" s="4" t="s">
        <v>18</v>
      </c>
      <c r="K39" s="4"/>
      <c r="L39" s="4" t="s">
        <v>19</v>
      </c>
      <c r="M39" s="4" t="s">
        <v>20</v>
      </c>
      <c r="N39" s="4" t="s">
        <v>21</v>
      </c>
      <c r="P39" s="37"/>
    </row>
    <row r="40" spans="1:18">
      <c r="A40" s="278"/>
      <c r="B40" s="278">
        <v>4</v>
      </c>
      <c r="C40" s="279"/>
      <c r="D40" s="82" t="s">
        <v>69</v>
      </c>
      <c r="E40" s="280" t="s">
        <v>70</v>
      </c>
      <c r="F40" s="280"/>
      <c r="G40" s="83" t="s">
        <v>71</v>
      </c>
      <c r="H40" s="83" t="s">
        <v>72</v>
      </c>
      <c r="I40" s="75">
        <v>22</v>
      </c>
      <c r="J40" s="76">
        <f>IF(AND((STDEV(I$40:I$45)/AVERAGE(I$40:I$45))&lt;=0.25,ISNUMBER(I40)),I40,IF(AND(I40&lt;=(AVERAGE(I$40:I$45)+STDEV(I$40:I$45)),I40&gt;=(AVERAGE(I$40:I$45)-STDEV(I$40:I$45)),ISNUMBER(I40)),I40,""))</f>
        <v>22</v>
      </c>
      <c r="K40" s="77" t="str">
        <f>IF(I40="","",IF(AND(COUNT(I$40:I$45)=1,ISNUMBER(I40)),"Sim",IF(AND((STDEV(J$40:J$45)/AVERAGE(J$40:J$45))&lt;0.25,ISNUMBER(J40)),"Sim",IF(AND(J40&lt;=(AVERAGE(J$40:J$45)+STDEV(J$40:J$45)),J40&gt;=(AVERAGE(J$40:J$45)-STDEV(J$40:J$45)),ISNUMBER(J40)),"Sim","Não"))))</f>
        <v>Sim</v>
      </c>
      <c r="L40" s="77">
        <f t="shared" ref="L40:L45" si="9">IF(K40="Sim",J40,"")</f>
        <v>22</v>
      </c>
      <c r="M40" s="281">
        <f>IF(I40="","",ROUND(IF(COUNT(I40:I45)=1,I40,IF((COUNT(L40:L45)&lt;3),MIN(L40:L45),AVERAGE(L40:L45))),2))</f>
        <v>20</v>
      </c>
      <c r="N40" s="282">
        <f>IF(M40="","",C40*M40)</f>
        <v>0</v>
      </c>
      <c r="P40" s="317"/>
      <c r="R40" s="316"/>
    </row>
    <row r="41" spans="1:18" ht="15" customHeight="1">
      <c r="A41" s="278"/>
      <c r="B41" s="278"/>
      <c r="C41" s="279"/>
      <c r="D41" s="83" t="s">
        <v>73</v>
      </c>
      <c r="E41" s="283" t="s">
        <v>74</v>
      </c>
      <c r="F41" s="284"/>
      <c r="G41" s="82" t="s">
        <v>75</v>
      </c>
      <c r="H41" s="82" t="s">
        <v>76</v>
      </c>
      <c r="I41" s="75">
        <v>21</v>
      </c>
      <c r="J41" s="76">
        <f t="shared" ref="J41:J45" si="10">IF(AND((STDEV(I$40:I$45)/AVERAGE(I$40:I$45))&lt;=0.25,ISNUMBER(I41)),I41,IF(AND(I41&lt;=(AVERAGE(I$40:I$45)+STDEV(I$40:I$45)),I41&gt;=(AVERAGE(I$40:I$45)-STDEV(I$40:I$45)),ISNUMBER(I41)),I41,""))</f>
        <v>21</v>
      </c>
      <c r="K41" s="77" t="str">
        <f t="shared" ref="K41:K45" si="11">IF(I41="","",IF(AND(COUNT(I$40:I$45)=1,ISNUMBER(I41)),"Sim",IF(AND((STDEV(J$40:J$45)/AVERAGE(J$40:J$45))&lt;0.25,ISNUMBER(J41)),"Sim",IF(AND(J41&lt;=(AVERAGE(J$40:J$45)+STDEV(J$40:J$45)),J41&gt;=(AVERAGE(J$40:J$45)-STDEV(J$40:J$45)),ISNUMBER(J41)),"Sim","Não"))))</f>
        <v>Sim</v>
      </c>
      <c r="L41" s="77">
        <f t="shared" si="9"/>
        <v>21</v>
      </c>
      <c r="M41" s="281"/>
      <c r="N41" s="282"/>
      <c r="P41" s="317"/>
      <c r="R41" s="316"/>
    </row>
    <row r="42" spans="1:18" ht="15" customHeight="1">
      <c r="A42" s="278"/>
      <c r="B42" s="278"/>
      <c r="C42" s="279"/>
      <c r="D42" s="80" t="s">
        <v>44</v>
      </c>
      <c r="E42" s="285" t="s">
        <v>45</v>
      </c>
      <c r="F42" s="285"/>
      <c r="G42" s="85" t="s">
        <v>77</v>
      </c>
      <c r="H42" s="82" t="s">
        <v>78</v>
      </c>
      <c r="I42" s="75">
        <v>34.979999999999997</v>
      </c>
      <c r="J42" s="76" t="str">
        <f t="shared" si="10"/>
        <v/>
      </c>
      <c r="K42" s="77" t="str">
        <f t="shared" si="11"/>
        <v>Não</v>
      </c>
      <c r="L42" s="77" t="str">
        <f t="shared" si="9"/>
        <v/>
      </c>
      <c r="M42" s="281"/>
      <c r="N42" s="282"/>
      <c r="P42" s="317"/>
      <c r="R42" s="316"/>
    </row>
    <row r="43" spans="1:18" ht="15" customHeight="1">
      <c r="A43" s="278"/>
      <c r="B43" s="278"/>
      <c r="C43" s="279"/>
      <c r="D43" s="80" t="s">
        <v>32</v>
      </c>
      <c r="E43" s="286">
        <v>45807</v>
      </c>
      <c r="F43" s="287"/>
      <c r="G43" s="105" t="s">
        <v>79</v>
      </c>
      <c r="H43" s="82" t="s">
        <v>80</v>
      </c>
      <c r="I43" s="75">
        <v>16.989999999999998</v>
      </c>
      <c r="J43" s="76">
        <f t="shared" si="10"/>
        <v>16.989999999999998</v>
      </c>
      <c r="K43" s="77" t="str">
        <f t="shared" si="11"/>
        <v>Sim</v>
      </c>
      <c r="L43" s="77">
        <f t="shared" si="9"/>
        <v>16.989999999999998</v>
      </c>
      <c r="M43" s="281"/>
      <c r="N43" s="282"/>
      <c r="P43" s="317"/>
      <c r="R43" s="316"/>
    </row>
    <row r="44" spans="1:18" ht="15" customHeight="1">
      <c r="A44" s="278"/>
      <c r="B44" s="278"/>
      <c r="C44" s="279"/>
      <c r="D44" s="80" t="s">
        <v>32</v>
      </c>
      <c r="E44" s="286">
        <v>45807</v>
      </c>
      <c r="F44" s="287"/>
      <c r="G44" s="105" t="s">
        <v>81</v>
      </c>
      <c r="H44" s="80" t="s">
        <v>82</v>
      </c>
      <c r="I44" s="75">
        <v>8</v>
      </c>
      <c r="J44" s="76" t="str">
        <f t="shared" si="10"/>
        <v/>
      </c>
      <c r="K44" s="77" t="str">
        <f t="shared" si="11"/>
        <v>Não</v>
      </c>
      <c r="L44" s="77" t="str">
        <f t="shared" si="9"/>
        <v/>
      </c>
      <c r="M44" s="281"/>
      <c r="N44" s="282"/>
      <c r="P44" s="317"/>
      <c r="R44" s="316"/>
    </row>
    <row r="45" spans="1:18" ht="15" customHeight="1">
      <c r="A45" s="278"/>
      <c r="B45" s="278"/>
      <c r="C45" s="279"/>
      <c r="D45" s="80" t="s">
        <v>32</v>
      </c>
      <c r="E45" s="286">
        <v>45807</v>
      </c>
      <c r="F45" s="287"/>
      <c r="G45" s="105" t="s">
        <v>83</v>
      </c>
      <c r="H45" s="80" t="s">
        <v>84</v>
      </c>
      <c r="I45" s="75">
        <v>34.9</v>
      </c>
      <c r="J45" s="76" t="str">
        <f t="shared" si="10"/>
        <v/>
      </c>
      <c r="K45" s="77" t="str">
        <f t="shared" si="11"/>
        <v>Não</v>
      </c>
      <c r="L45" s="77" t="str">
        <f t="shared" si="9"/>
        <v/>
      </c>
      <c r="M45" s="281"/>
      <c r="N45" s="282"/>
      <c r="P45" s="317"/>
      <c r="R45" s="316"/>
    </row>
    <row r="46" spans="1:18" ht="13.5" customHeight="1">
      <c r="P46" s="36"/>
    </row>
    <row r="47" spans="1:18" ht="13.5" customHeight="1">
      <c r="P47" s="36"/>
    </row>
    <row r="48" spans="1:18" ht="12" customHeight="1">
      <c r="A48" s="260" t="s">
        <v>2</v>
      </c>
      <c r="B48" s="261"/>
      <c r="C48" s="261"/>
      <c r="D48" s="261"/>
      <c r="E48" s="262"/>
      <c r="F48" s="260" t="s">
        <v>3</v>
      </c>
      <c r="G48" s="261"/>
      <c r="H48" s="261"/>
      <c r="I48" s="260" t="s">
        <v>4</v>
      </c>
      <c r="J48" s="261"/>
      <c r="K48" s="261"/>
      <c r="L48" s="262"/>
      <c r="M48" s="260" t="s">
        <v>5</v>
      </c>
      <c r="N48" s="262"/>
      <c r="P48" s="36"/>
    </row>
    <row r="49" spans="1:18" ht="12" customHeight="1">
      <c r="A49" s="263"/>
      <c r="B49" s="264"/>
      <c r="C49" s="264"/>
      <c r="D49" s="264"/>
      <c r="E49" s="265"/>
      <c r="F49" s="269" t="s">
        <v>85</v>
      </c>
      <c r="G49" s="270"/>
      <c r="H49" s="270"/>
      <c r="I49" s="269" t="s">
        <v>7</v>
      </c>
      <c r="J49" s="270"/>
      <c r="K49" s="270"/>
      <c r="L49" s="273"/>
      <c r="M49" s="271" t="s">
        <v>8</v>
      </c>
      <c r="N49" s="274"/>
      <c r="P49" s="17"/>
    </row>
    <row r="50" spans="1:18" ht="15" customHeight="1">
      <c r="A50" s="266"/>
      <c r="B50" s="267"/>
      <c r="C50" s="267"/>
      <c r="D50" s="267"/>
      <c r="E50" s="268"/>
      <c r="F50" s="271"/>
      <c r="G50" s="272"/>
      <c r="H50" s="272"/>
      <c r="I50" s="271"/>
      <c r="J50" s="272"/>
      <c r="K50" s="272"/>
      <c r="L50" s="274"/>
      <c r="M50" s="275" t="s">
        <v>9</v>
      </c>
      <c r="N50" s="276"/>
      <c r="P50" s="37"/>
    </row>
    <row r="51" spans="1:18" ht="24" customHeight="1">
      <c r="A51" s="4" t="s">
        <v>10</v>
      </c>
      <c r="B51" s="4" t="s">
        <v>11</v>
      </c>
      <c r="C51" s="4" t="s">
        <v>12</v>
      </c>
      <c r="D51" s="5" t="s">
        <v>13</v>
      </c>
      <c r="E51" s="277" t="s">
        <v>14</v>
      </c>
      <c r="F51" s="277"/>
      <c r="G51" s="24" t="s">
        <v>15</v>
      </c>
      <c r="H51" s="24" t="s">
        <v>16</v>
      </c>
      <c r="I51" s="4" t="s">
        <v>17</v>
      </c>
      <c r="J51" s="4" t="s">
        <v>18</v>
      </c>
      <c r="K51" s="4"/>
      <c r="L51" s="4" t="s">
        <v>19</v>
      </c>
      <c r="M51" s="4" t="s">
        <v>20</v>
      </c>
      <c r="N51" s="4" t="s">
        <v>21</v>
      </c>
      <c r="P51" s="37"/>
    </row>
    <row r="52" spans="1:18">
      <c r="A52" s="278"/>
      <c r="B52" s="278">
        <v>5</v>
      </c>
      <c r="C52" s="279"/>
      <c r="D52" s="82" t="s">
        <v>86</v>
      </c>
      <c r="E52" s="280">
        <v>45609</v>
      </c>
      <c r="F52" s="280"/>
      <c r="G52" s="83" t="s">
        <v>87</v>
      </c>
      <c r="H52" s="83" t="s">
        <v>88</v>
      </c>
      <c r="I52" s="75">
        <v>19.5</v>
      </c>
      <c r="J52" s="76">
        <f>IF(AND((STDEV(I$52:I$57)/AVERAGE(I$52:I$57))&lt;=0.25,ISNUMBER(I52)),I52,IF(AND(I52&lt;=(AVERAGE(I$52:I$57)+STDEV(I$52:I$57)),I52&gt;=(AVERAGE(I$52:I$57)-STDEV(I$52:I$57)),ISNUMBER(I52)),I52,""))</f>
        <v>19.5</v>
      </c>
      <c r="K52" s="77" t="str">
        <f>IF(I52="","",IF(AND(COUNT(I$52:I$57)=1,ISNUMBER(I52)),"Sim",IF(AND((STDEV(J$52:J$57)/AVERAGE(J$52:J$57))&lt;0.25,ISNUMBER(J52)),"Sim",IF(AND(J52&lt;=(AVERAGE(J$52:J$57)+STDEV(J$52:J$57)),J52&gt;=(AVERAGE(J$52:J$57)-STDEV(J$52:J$57)),ISNUMBER(J52)),"Sim","Não"))))</f>
        <v>Sim</v>
      </c>
      <c r="L52" s="77">
        <f t="shared" ref="L52:L57" si="12">IF(K52="Sim",J52,"")</f>
        <v>19.5</v>
      </c>
      <c r="M52" s="281">
        <f>IF(I52="","",ROUND(IF(COUNT(I52:I57)=1,I52,IF((COUNT(L52:L57)&lt;3),MIN(L52:L57),AVERAGE(L52:L57))),2))</f>
        <v>22.88</v>
      </c>
      <c r="N52" s="282">
        <f>IF(M52="","",C52*M52)</f>
        <v>0</v>
      </c>
      <c r="P52" s="317"/>
      <c r="R52" s="316"/>
    </row>
    <row r="53" spans="1:18" ht="15" customHeight="1">
      <c r="A53" s="278"/>
      <c r="B53" s="278"/>
      <c r="C53" s="279"/>
      <c r="D53" s="83" t="s">
        <v>89</v>
      </c>
      <c r="E53" s="283" t="s">
        <v>90</v>
      </c>
      <c r="F53" s="284"/>
      <c r="G53" s="82" t="s">
        <v>91</v>
      </c>
      <c r="H53" s="83" t="s">
        <v>92</v>
      </c>
      <c r="I53" s="75">
        <v>19.899999999999999</v>
      </c>
      <c r="J53" s="76">
        <f t="shared" ref="J53:J56" si="13">IF(AND((STDEV(I$52:I$57)/AVERAGE(I$52:I$57))&lt;=0.25,ISNUMBER(I53)),I53,IF(AND(I53&lt;=(AVERAGE(I$52:I$57)+STDEV(I$52:I$57)),I53&gt;=(AVERAGE(I$52:I$57)-STDEV(I$52:I$57)),ISNUMBER(I53)),I53,""))</f>
        <v>19.899999999999999</v>
      </c>
      <c r="K53" s="77" t="str">
        <f>IF(I53="","",IF(AND(COUNT(I$52:I$57)=1,ISNUMBER(I53)),"Sim",IF(AND((STDEV(J$52:J$57)/AVERAGE(J$52:J$57))&lt;0.25,ISNUMBER(J53)),"Sim",IF(AND(J53&lt;=(AVERAGE(J$52:J$57)+STDEV(J$52:J$57)),J53&gt;=(AVERAGE(J$52:J$57)-STDEV(J$52:J$57)),ISNUMBER(J53)),"Sim","Não"))))</f>
        <v>Sim</v>
      </c>
      <c r="L53" s="77">
        <f t="shared" si="12"/>
        <v>19.899999999999999</v>
      </c>
      <c r="M53" s="281"/>
      <c r="N53" s="282"/>
      <c r="P53" s="317"/>
      <c r="R53" s="316"/>
    </row>
    <row r="54" spans="1:18" ht="15" customHeight="1">
      <c r="A54" s="278"/>
      <c r="B54" s="278"/>
      <c r="C54" s="279"/>
      <c r="D54" s="80" t="s">
        <v>93</v>
      </c>
      <c r="E54" s="285" t="s">
        <v>94</v>
      </c>
      <c r="F54" s="285"/>
      <c r="G54" s="84" t="s">
        <v>95</v>
      </c>
      <c r="H54" s="82" t="s">
        <v>96</v>
      </c>
      <c r="I54" s="75">
        <v>40.5</v>
      </c>
      <c r="J54" s="76" t="str">
        <f t="shared" si="13"/>
        <v/>
      </c>
      <c r="K54" s="77" t="str">
        <f t="shared" ref="K54:K57" si="14">IF(I54="","",IF(AND(COUNT(I$52:I$57)=1,ISNUMBER(I54)),"Sim",IF(AND((STDEV(J$52:J$57)/AVERAGE(J$52:J$57))&lt;0.25,ISNUMBER(J54)),"Sim",IF(AND(J54&lt;=(AVERAGE(J$52:J$57)+STDEV(J$52:J$57)),J54&gt;=(AVERAGE(J$52:J$57)-STDEV(J$52:J$57)),ISNUMBER(J54)),"Sim","Não"))))</f>
        <v>Não</v>
      </c>
      <c r="L54" s="77" t="str">
        <f t="shared" si="12"/>
        <v/>
      </c>
      <c r="M54" s="281"/>
      <c r="N54" s="282"/>
      <c r="P54" s="317"/>
      <c r="R54" s="316"/>
    </row>
    <row r="55" spans="1:18" ht="15" customHeight="1">
      <c r="A55" s="278"/>
      <c r="B55" s="278"/>
      <c r="C55" s="279"/>
      <c r="D55" s="80" t="s">
        <v>32</v>
      </c>
      <c r="E55" s="286">
        <v>45807</v>
      </c>
      <c r="F55" s="287"/>
      <c r="G55" s="105" t="s">
        <v>97</v>
      </c>
      <c r="H55" s="82" t="s">
        <v>98</v>
      </c>
      <c r="I55" s="75">
        <v>20</v>
      </c>
      <c r="J55" s="76">
        <f t="shared" si="13"/>
        <v>20</v>
      </c>
      <c r="K55" s="77" t="str">
        <f t="shared" si="14"/>
        <v>Sim</v>
      </c>
      <c r="L55" s="77">
        <f t="shared" si="12"/>
        <v>20</v>
      </c>
      <c r="M55" s="281"/>
      <c r="N55" s="282"/>
      <c r="P55" s="317"/>
      <c r="R55" s="316"/>
    </row>
    <row r="56" spans="1:18" ht="15" customHeight="1">
      <c r="A56" s="278"/>
      <c r="B56" s="278"/>
      <c r="C56" s="279"/>
      <c r="D56" s="80" t="s">
        <v>32</v>
      </c>
      <c r="E56" s="286">
        <v>45807</v>
      </c>
      <c r="F56" s="287"/>
      <c r="G56" s="105" t="s">
        <v>99</v>
      </c>
      <c r="H56" s="80" t="s">
        <v>100</v>
      </c>
      <c r="I56" s="75">
        <v>25</v>
      </c>
      <c r="J56" s="76">
        <f t="shared" si="13"/>
        <v>25</v>
      </c>
      <c r="K56" s="77" t="str">
        <f t="shared" si="14"/>
        <v>Sim</v>
      </c>
      <c r="L56" s="77">
        <f t="shared" si="12"/>
        <v>25</v>
      </c>
      <c r="M56" s="281"/>
      <c r="N56" s="282"/>
      <c r="P56" s="317"/>
      <c r="R56" s="316"/>
    </row>
    <row r="57" spans="1:18" ht="15" customHeight="1">
      <c r="A57" s="278"/>
      <c r="B57" s="278"/>
      <c r="C57" s="279"/>
      <c r="D57" s="80" t="s">
        <v>32</v>
      </c>
      <c r="E57" s="286">
        <v>45807</v>
      </c>
      <c r="F57" s="287"/>
      <c r="G57" s="105" t="s">
        <v>101</v>
      </c>
      <c r="H57" s="80" t="s">
        <v>102</v>
      </c>
      <c r="I57" s="75">
        <v>30</v>
      </c>
      <c r="J57" s="76">
        <f>IF(AND((STDEV(I$52:I$57)/AVERAGE(I$52:I$57))&lt;=0.25,ISNUMBER(I57)),I57,IF(AND(I57&lt;=(AVERAGE(I$52:I$57)+STDEV(I$52:I$57)),I57&gt;=(AVERAGE(I$52:I$57)-STDEV(I$52:I$57)),ISNUMBER(I57)),I57,""))</f>
        <v>30</v>
      </c>
      <c r="K57" s="77" t="str">
        <f t="shared" si="14"/>
        <v>Sim</v>
      </c>
      <c r="L57" s="77">
        <f t="shared" si="12"/>
        <v>30</v>
      </c>
      <c r="M57" s="281"/>
      <c r="N57" s="282"/>
      <c r="P57" s="317"/>
      <c r="R57" s="316"/>
    </row>
    <row r="58" spans="1:18" ht="13.5" customHeight="1">
      <c r="P58" s="36"/>
    </row>
    <row r="59" spans="1:18" ht="13.5" customHeight="1">
      <c r="P59" s="36"/>
    </row>
    <row r="60" spans="1:18" ht="12" customHeight="1">
      <c r="A60" s="260" t="s">
        <v>2</v>
      </c>
      <c r="B60" s="261"/>
      <c r="C60" s="261"/>
      <c r="D60" s="261"/>
      <c r="E60" s="262"/>
      <c r="F60" s="260" t="s">
        <v>3</v>
      </c>
      <c r="G60" s="261"/>
      <c r="H60" s="261"/>
      <c r="I60" s="260" t="s">
        <v>4</v>
      </c>
      <c r="J60" s="261"/>
      <c r="K60" s="261"/>
      <c r="L60" s="262"/>
      <c r="M60" s="260" t="s">
        <v>5</v>
      </c>
      <c r="N60" s="262"/>
      <c r="P60" s="36"/>
    </row>
    <row r="61" spans="1:18" ht="12" customHeight="1">
      <c r="A61" s="263"/>
      <c r="B61" s="264"/>
      <c r="C61" s="264"/>
      <c r="D61" s="264"/>
      <c r="E61" s="265"/>
      <c r="F61" s="269" t="s">
        <v>103</v>
      </c>
      <c r="G61" s="270"/>
      <c r="H61" s="270"/>
      <c r="I61" s="269" t="s">
        <v>7</v>
      </c>
      <c r="J61" s="270"/>
      <c r="K61" s="270"/>
      <c r="L61" s="273"/>
      <c r="M61" s="271" t="s">
        <v>8</v>
      </c>
      <c r="N61" s="274"/>
      <c r="P61" s="17"/>
    </row>
    <row r="62" spans="1:18" ht="15" customHeight="1">
      <c r="A62" s="266"/>
      <c r="B62" s="267"/>
      <c r="C62" s="267"/>
      <c r="D62" s="267"/>
      <c r="E62" s="268"/>
      <c r="F62" s="271"/>
      <c r="G62" s="272"/>
      <c r="H62" s="272"/>
      <c r="I62" s="271"/>
      <c r="J62" s="272"/>
      <c r="K62" s="272"/>
      <c r="L62" s="274"/>
      <c r="M62" s="275" t="s">
        <v>9</v>
      </c>
      <c r="N62" s="276"/>
      <c r="P62" s="37"/>
    </row>
    <row r="63" spans="1:18" ht="24" customHeight="1">
      <c r="A63" s="4" t="s">
        <v>10</v>
      </c>
      <c r="B63" s="4" t="s">
        <v>11</v>
      </c>
      <c r="C63" s="4" t="s">
        <v>12</v>
      </c>
      <c r="D63" s="5" t="s">
        <v>13</v>
      </c>
      <c r="E63" s="277" t="s">
        <v>14</v>
      </c>
      <c r="F63" s="277"/>
      <c r="G63" s="24" t="s">
        <v>15</v>
      </c>
      <c r="H63" s="24" t="s">
        <v>16</v>
      </c>
      <c r="I63" s="4" t="s">
        <v>17</v>
      </c>
      <c r="J63" s="4" t="s">
        <v>18</v>
      </c>
      <c r="K63" s="4"/>
      <c r="L63" s="4" t="s">
        <v>19</v>
      </c>
      <c r="M63" s="4" t="s">
        <v>20</v>
      </c>
      <c r="N63" s="4" t="s">
        <v>21</v>
      </c>
      <c r="P63" s="37"/>
    </row>
    <row r="64" spans="1:18">
      <c r="A64" s="278"/>
      <c r="B64" s="278">
        <v>6</v>
      </c>
      <c r="C64" s="279"/>
      <c r="D64" s="82" t="s">
        <v>104</v>
      </c>
      <c r="E64" s="280" t="s">
        <v>105</v>
      </c>
      <c r="F64" s="280"/>
      <c r="G64" s="83" t="s">
        <v>106</v>
      </c>
      <c r="H64" s="83" t="s">
        <v>107</v>
      </c>
      <c r="I64" s="75">
        <v>9.8000000000000007</v>
      </c>
      <c r="J64" s="76" t="str">
        <f>IF(AND((STDEV(I$64:I$69)/AVERAGE(I$64:I$69))&lt;=0.25,ISNUMBER(I64)),I64,IF(AND(I64&lt;=(AVERAGE(I$64:I$69)+STDEV(I$64:I$69)),I64&gt;=(AVERAGE(I$64:I$69)-STDEV(I$64:I$69)),ISNUMBER(I64)),I64,""))</f>
        <v/>
      </c>
      <c r="K64" s="77" t="str">
        <f>IF(I64="","",IF(AND(COUNT(I$64:I$69)=1,ISNUMBER(I64)),"Sim",IF(AND((STDEV(J$64:J$69)/AVERAGE(J$64:J$69))&lt;0.25,ISNUMBER(J64)),"Sim",IF(AND(J64&lt;=(AVERAGE(J$64:J$69)+STDEV(J$64:J$69)),J64&gt;=(AVERAGE(J$64:J$69)-STDEV(J$64:J$69)),ISNUMBER(J64)),"Sim","Não"))))</f>
        <v>Não</v>
      </c>
      <c r="L64" s="77" t="str">
        <f t="shared" ref="L64:L69" si="15">IF(K64="Sim",J64,"")</f>
        <v/>
      </c>
      <c r="M64" s="281">
        <f>IF(I64="","",ROUND(IF(COUNT(I64:I69)=1,I64,IF((COUNT(L64:L69)&lt;3),MIN(L64:L69),AVERAGE(L64:L69))),2))</f>
        <v>18.23</v>
      </c>
      <c r="N64" s="282">
        <f>IF(M64="","",C64*M64)</f>
        <v>0</v>
      </c>
      <c r="P64" s="317"/>
      <c r="R64" s="316"/>
    </row>
    <row r="65" spans="1:18" ht="15" customHeight="1">
      <c r="A65" s="278"/>
      <c r="B65" s="278"/>
      <c r="C65" s="279"/>
      <c r="D65" s="83" t="s">
        <v>108</v>
      </c>
      <c r="E65" s="283" t="s">
        <v>109</v>
      </c>
      <c r="F65" s="284"/>
      <c r="G65" s="82" t="s">
        <v>110</v>
      </c>
      <c r="H65" s="83" t="s">
        <v>111</v>
      </c>
      <c r="I65" s="75">
        <v>28.65</v>
      </c>
      <c r="J65" s="76" t="str">
        <f t="shared" ref="J65:J69" si="16">IF(AND((STDEV(I$64:I$69)/AVERAGE(I$64:I$69))&lt;=0.25,ISNUMBER(I65)),I65,IF(AND(I65&lt;=(AVERAGE(I$64:I$69)+STDEV(I$64:I$69)),I65&gt;=(AVERAGE(I$64:I$69)-STDEV(I$64:I$69)),ISNUMBER(I65)),I65,""))</f>
        <v/>
      </c>
      <c r="K65" s="77" t="str">
        <f t="shared" ref="K65:K69" si="17">IF(I65="","",IF(AND(COUNT(I$64:I$69)=1,ISNUMBER(I65)),"Sim",IF(AND((STDEV(J$64:J$69)/AVERAGE(J$64:J$69))&lt;0.25,ISNUMBER(J65)),"Sim",IF(AND(J65&lt;=(AVERAGE(J$64:J$69)+STDEV(J$64:J$69)),J65&gt;=(AVERAGE(J$64:J$69)-STDEV(J$64:J$69)),ISNUMBER(J65)),"Sim","Não"))))</f>
        <v>Não</v>
      </c>
      <c r="L65" s="77" t="str">
        <f t="shared" si="15"/>
        <v/>
      </c>
      <c r="M65" s="281"/>
      <c r="N65" s="282"/>
      <c r="P65" s="317"/>
      <c r="R65" s="316"/>
    </row>
    <row r="66" spans="1:18" ht="15" customHeight="1">
      <c r="A66" s="278"/>
      <c r="B66" s="278"/>
      <c r="C66" s="279"/>
      <c r="D66" s="80" t="s">
        <v>112</v>
      </c>
      <c r="E66" s="285">
        <v>45597</v>
      </c>
      <c r="F66" s="285"/>
      <c r="G66" s="84" t="s">
        <v>113</v>
      </c>
      <c r="H66" s="82" t="s">
        <v>114</v>
      </c>
      <c r="I66" s="75">
        <v>20.92</v>
      </c>
      <c r="J66" s="76">
        <f t="shared" si="16"/>
        <v>20.92</v>
      </c>
      <c r="K66" s="77" t="str">
        <f t="shared" si="17"/>
        <v>Sim</v>
      </c>
      <c r="L66" s="77">
        <f t="shared" si="15"/>
        <v>20.92</v>
      </c>
      <c r="M66" s="281"/>
      <c r="N66" s="282"/>
      <c r="P66" s="317"/>
      <c r="R66" s="316"/>
    </row>
    <row r="67" spans="1:18" ht="15" customHeight="1">
      <c r="A67" s="278"/>
      <c r="B67" s="278"/>
      <c r="C67" s="279"/>
      <c r="D67" s="80" t="s">
        <v>32</v>
      </c>
      <c r="E67" s="286">
        <v>45807</v>
      </c>
      <c r="F67" s="287"/>
      <c r="G67" s="105" t="s">
        <v>115</v>
      </c>
      <c r="H67" s="82" t="s">
        <v>116</v>
      </c>
      <c r="I67" s="75">
        <v>14.1</v>
      </c>
      <c r="J67" s="76">
        <f t="shared" si="16"/>
        <v>14.1</v>
      </c>
      <c r="K67" s="77" t="str">
        <f t="shared" si="17"/>
        <v>Sim</v>
      </c>
      <c r="L67" s="77">
        <f t="shared" si="15"/>
        <v>14.1</v>
      </c>
      <c r="M67" s="281"/>
      <c r="N67" s="282"/>
      <c r="P67" s="317"/>
      <c r="R67" s="316"/>
    </row>
    <row r="68" spans="1:18" ht="15" customHeight="1">
      <c r="A68" s="278"/>
      <c r="B68" s="278"/>
      <c r="C68" s="279"/>
      <c r="D68" s="80" t="s">
        <v>32</v>
      </c>
      <c r="E68" s="286">
        <v>45807</v>
      </c>
      <c r="F68" s="287"/>
      <c r="G68" s="105" t="s">
        <v>47</v>
      </c>
      <c r="H68" s="80" t="s">
        <v>48</v>
      </c>
      <c r="I68" s="75">
        <v>21.99</v>
      </c>
      <c r="J68" s="76">
        <f t="shared" si="16"/>
        <v>21.99</v>
      </c>
      <c r="K68" s="77" t="str">
        <f t="shared" si="17"/>
        <v>Sim</v>
      </c>
      <c r="L68" s="77">
        <f t="shared" si="15"/>
        <v>21.99</v>
      </c>
      <c r="M68" s="281"/>
      <c r="N68" s="282"/>
      <c r="P68" s="317"/>
      <c r="R68" s="316"/>
    </row>
    <row r="69" spans="1:18" ht="15" customHeight="1">
      <c r="A69" s="278"/>
      <c r="B69" s="278"/>
      <c r="C69" s="279"/>
      <c r="D69" s="80" t="s">
        <v>32</v>
      </c>
      <c r="E69" s="286">
        <v>45807</v>
      </c>
      <c r="F69" s="287"/>
      <c r="G69" s="105" t="s">
        <v>117</v>
      </c>
      <c r="H69" s="80" t="s">
        <v>118</v>
      </c>
      <c r="I69" s="75">
        <v>15.9</v>
      </c>
      <c r="J69" s="76">
        <f t="shared" si="16"/>
        <v>15.9</v>
      </c>
      <c r="K69" s="77" t="str">
        <f t="shared" si="17"/>
        <v>Sim</v>
      </c>
      <c r="L69" s="77">
        <f t="shared" si="15"/>
        <v>15.9</v>
      </c>
      <c r="M69" s="281"/>
      <c r="N69" s="282"/>
      <c r="P69" s="317"/>
      <c r="R69" s="316"/>
    </row>
    <row r="70" spans="1:18" ht="13.5" customHeight="1">
      <c r="P70" s="36"/>
    </row>
    <row r="71" spans="1:18" ht="12" customHeight="1">
      <c r="A71" s="260" t="s">
        <v>2</v>
      </c>
      <c r="B71" s="261"/>
      <c r="C71" s="261"/>
      <c r="D71" s="261"/>
      <c r="E71" s="262"/>
      <c r="F71" s="260" t="s">
        <v>3</v>
      </c>
      <c r="G71" s="261"/>
      <c r="H71" s="261"/>
      <c r="I71" s="260" t="s">
        <v>4</v>
      </c>
      <c r="J71" s="261"/>
      <c r="K71" s="261"/>
      <c r="L71" s="262"/>
      <c r="M71" s="260" t="s">
        <v>5</v>
      </c>
      <c r="N71" s="262"/>
      <c r="P71" s="36"/>
    </row>
    <row r="72" spans="1:18" ht="12" customHeight="1">
      <c r="A72" s="263"/>
      <c r="B72" s="264"/>
      <c r="C72" s="264"/>
      <c r="D72" s="264"/>
      <c r="E72" s="265"/>
      <c r="F72" s="269" t="s">
        <v>119</v>
      </c>
      <c r="G72" s="270"/>
      <c r="H72" s="270"/>
      <c r="I72" s="269" t="s">
        <v>7</v>
      </c>
      <c r="J72" s="270"/>
      <c r="K72" s="270"/>
      <c r="L72" s="273"/>
      <c r="M72" s="271" t="s">
        <v>8</v>
      </c>
      <c r="N72" s="274"/>
      <c r="P72" s="17"/>
    </row>
    <row r="73" spans="1:18" ht="15" customHeight="1">
      <c r="A73" s="266"/>
      <c r="B73" s="267"/>
      <c r="C73" s="267"/>
      <c r="D73" s="267"/>
      <c r="E73" s="268"/>
      <c r="F73" s="271"/>
      <c r="G73" s="272"/>
      <c r="H73" s="272"/>
      <c r="I73" s="271"/>
      <c r="J73" s="272"/>
      <c r="K73" s="272"/>
      <c r="L73" s="274"/>
      <c r="M73" s="275" t="s">
        <v>9</v>
      </c>
      <c r="N73" s="276"/>
      <c r="P73" s="37"/>
    </row>
    <row r="74" spans="1:18" ht="24" customHeight="1">
      <c r="A74" s="4" t="s">
        <v>10</v>
      </c>
      <c r="B74" s="4" t="s">
        <v>11</v>
      </c>
      <c r="C74" s="4" t="s">
        <v>12</v>
      </c>
      <c r="D74" s="5" t="s">
        <v>13</v>
      </c>
      <c r="E74" s="277" t="s">
        <v>14</v>
      </c>
      <c r="F74" s="277"/>
      <c r="G74" s="24" t="s">
        <v>15</v>
      </c>
      <c r="H74" s="24" t="s">
        <v>16</v>
      </c>
      <c r="I74" s="4" t="s">
        <v>17</v>
      </c>
      <c r="J74" s="4" t="s">
        <v>18</v>
      </c>
      <c r="K74" s="4"/>
      <c r="L74" s="4" t="s">
        <v>19</v>
      </c>
      <c r="M74" s="4" t="s">
        <v>20</v>
      </c>
      <c r="N74" s="4" t="s">
        <v>21</v>
      </c>
      <c r="P74" s="37"/>
    </row>
    <row r="75" spans="1:18">
      <c r="A75" s="278"/>
      <c r="B75" s="278">
        <v>7</v>
      </c>
      <c r="C75" s="279"/>
      <c r="D75" s="82" t="s">
        <v>120</v>
      </c>
      <c r="E75" s="280">
        <v>45666</v>
      </c>
      <c r="F75" s="280"/>
      <c r="G75" s="83" t="s">
        <v>121</v>
      </c>
      <c r="H75" s="83" t="s">
        <v>122</v>
      </c>
      <c r="I75" s="75">
        <v>59.9</v>
      </c>
      <c r="J75" s="76" t="str">
        <f>IF(AND((STDEV(I$75:I$80)/AVERAGE(I$75:I$80))&lt;=0.25,ISNUMBER(I75)),I75,IF(AND(I75&lt;=(AVERAGE(I$75:I$80)+STDEV(I$75:I$80)),I75&gt;=(AVERAGE(I$75:I$80)-STDEV(I$75:I$80)),ISNUMBER(I75)),I75,""))</f>
        <v/>
      </c>
      <c r="K75" s="77" t="str">
        <f>IF(I75="","",IF(AND(COUNT(I$75:I$80)=1,ISNUMBER(I75)),"Sim",IF(AND((STDEV(J$75:J$80)/AVERAGE(J$75:J$80))&lt;0.25,ISNUMBER(J75)),"Sim",IF(AND(J75&lt;=(AVERAGE(J$75:J$80)+STDEV(J$75:J$80)),J75&gt;=(AVERAGE(J$75:J$80)-STDEV(J$75:J$80)),ISNUMBER(J75)),"Sim","Não"))))</f>
        <v>Não</v>
      </c>
      <c r="L75" s="77" t="str">
        <f t="shared" ref="L75:L80" si="18">IF(K75="Sim",J75,"")</f>
        <v/>
      </c>
      <c r="M75" s="281">
        <f>IF(I75="","",ROUND(IF(COUNT(I75:I80)=1,I75,IF((COUNT(L75:L80)&lt;3),MIN(L75:L80),AVERAGE(L75:L80))),2))</f>
        <v>115.08</v>
      </c>
      <c r="N75" s="282">
        <f>IF(M75="","",C75*M75)</f>
        <v>0</v>
      </c>
      <c r="P75" s="317"/>
      <c r="R75" s="316"/>
    </row>
    <row r="76" spans="1:18" ht="15" customHeight="1">
      <c r="A76" s="278"/>
      <c r="B76" s="278"/>
      <c r="C76" s="279"/>
      <c r="D76" s="83" t="s">
        <v>120</v>
      </c>
      <c r="E76" s="283" t="s">
        <v>123</v>
      </c>
      <c r="F76" s="284"/>
      <c r="G76" s="82" t="s">
        <v>124</v>
      </c>
      <c r="H76" s="83" t="s">
        <v>125</v>
      </c>
      <c r="I76" s="75">
        <v>90</v>
      </c>
      <c r="J76" s="76">
        <f>IF(AND((STDEV(I$75:I$80)/AVERAGE(I$75:I$80))&lt;=0.25,ISNUMBER(I76)),I76,IF(AND(I76&lt;=(AVERAGE(I$75:I$80)+STDEV(I$75:I$80)),I76&gt;=(AVERAGE(I$75:I$80)-STDEV(I$75:I$80)),ISNUMBER(I76)),I76,""))</f>
        <v>90</v>
      </c>
      <c r="K76" s="77" t="str">
        <f>IF(I76="","",IF(AND(COUNT(I$75:I$80)=1,ISNUMBER(I76)),"Sim",IF(AND((STDEV(J$75:J$80)/AVERAGE(J$75:J$80))&lt;0.25,ISNUMBER(J76)),"Sim",IF(AND(J76&lt;=(AVERAGE(J$75:J$80)+STDEV(J$75:J$80)),J76&gt;=(AVERAGE(J$75:J$80)-STDEV(J$75:J$80)),ISNUMBER(J76)),"Sim","Não"))))</f>
        <v>Sim</v>
      </c>
      <c r="L76" s="77">
        <f t="shared" si="18"/>
        <v>90</v>
      </c>
      <c r="M76" s="281"/>
      <c r="N76" s="282"/>
      <c r="P76" s="317"/>
      <c r="R76" s="316"/>
    </row>
    <row r="77" spans="1:18" ht="15" customHeight="1">
      <c r="A77" s="278"/>
      <c r="B77" s="278"/>
      <c r="C77" s="279"/>
      <c r="D77" s="80" t="s">
        <v>126</v>
      </c>
      <c r="E77" s="285" t="s">
        <v>127</v>
      </c>
      <c r="F77" s="285"/>
      <c r="G77" s="9" t="s">
        <v>128</v>
      </c>
      <c r="H77" s="82" t="s">
        <v>129</v>
      </c>
      <c r="I77" s="75">
        <v>130.32</v>
      </c>
      <c r="J77" s="76">
        <f t="shared" ref="J77:J80" si="19">IF(AND((STDEV(I$75:I$80)/AVERAGE(I$75:I$80))&lt;=0.25,ISNUMBER(I77)),I77,IF(AND(I77&lt;=(AVERAGE(I$75:I$80)+STDEV(I$75:I$80)),I77&gt;=(AVERAGE(I$75:I$80)-STDEV(I$75:I$80)),ISNUMBER(I77)),I77,""))</f>
        <v>130.32</v>
      </c>
      <c r="K77" s="77" t="str">
        <f t="shared" ref="K77:K80" si="20">IF(I77="","",IF(AND(COUNT(I$75:I$80)=1,ISNUMBER(I77)),"Sim",IF(AND((STDEV(J$75:J$80)/AVERAGE(J$75:J$80))&lt;0.25,ISNUMBER(J77)),"Sim",IF(AND(J77&lt;=(AVERAGE(J$75:J$80)+STDEV(J$75:J$80)),J77&gt;=(AVERAGE(J$75:J$80)-STDEV(J$75:J$80)),ISNUMBER(J77)),"Sim","Não"))))</f>
        <v>Sim</v>
      </c>
      <c r="L77" s="77">
        <f t="shared" si="18"/>
        <v>130.32</v>
      </c>
      <c r="M77" s="281"/>
      <c r="N77" s="282"/>
      <c r="P77" s="317"/>
      <c r="R77" s="316"/>
    </row>
    <row r="78" spans="1:18" ht="15" customHeight="1">
      <c r="A78" s="278"/>
      <c r="B78" s="278"/>
      <c r="C78" s="279"/>
      <c r="D78" s="80" t="s">
        <v>32</v>
      </c>
      <c r="E78" s="286">
        <v>45807</v>
      </c>
      <c r="F78" s="287"/>
      <c r="G78" s="105" t="s">
        <v>115</v>
      </c>
      <c r="H78" s="82" t="s">
        <v>116</v>
      </c>
      <c r="I78" s="75">
        <v>139.99</v>
      </c>
      <c r="J78" s="76">
        <f t="shared" si="19"/>
        <v>139.99</v>
      </c>
      <c r="K78" s="77" t="str">
        <f t="shared" si="20"/>
        <v>Sim</v>
      </c>
      <c r="L78" s="77">
        <f t="shared" si="18"/>
        <v>139.99</v>
      </c>
      <c r="M78" s="281"/>
      <c r="N78" s="282"/>
      <c r="P78" s="317"/>
      <c r="R78" s="316"/>
    </row>
    <row r="79" spans="1:18" ht="15" customHeight="1">
      <c r="A79" s="278"/>
      <c r="B79" s="278"/>
      <c r="C79" s="279"/>
      <c r="D79" s="80" t="s">
        <v>32</v>
      </c>
      <c r="E79" s="286">
        <v>45807</v>
      </c>
      <c r="F79" s="287"/>
      <c r="G79" s="105" t="s">
        <v>130</v>
      </c>
      <c r="H79" s="80" t="s">
        <v>131</v>
      </c>
      <c r="I79" s="75">
        <v>99.99</v>
      </c>
      <c r="J79" s="76">
        <f t="shared" si="19"/>
        <v>99.99</v>
      </c>
      <c r="K79" s="77" t="str">
        <f t="shared" si="20"/>
        <v>Sim</v>
      </c>
      <c r="L79" s="77">
        <f t="shared" si="18"/>
        <v>99.99</v>
      </c>
      <c r="M79" s="281"/>
      <c r="N79" s="282"/>
      <c r="P79" s="317"/>
      <c r="R79" s="316"/>
    </row>
    <row r="80" spans="1:18" ht="15" customHeight="1">
      <c r="A80" s="278"/>
      <c r="B80" s="278"/>
      <c r="C80" s="279"/>
      <c r="D80" s="80" t="s">
        <v>32</v>
      </c>
      <c r="E80" s="286">
        <v>45807</v>
      </c>
      <c r="F80" s="287"/>
      <c r="G80" s="105" t="s">
        <v>49</v>
      </c>
      <c r="H80" s="80" t="s">
        <v>50</v>
      </c>
      <c r="I80" s="75">
        <v>179.99</v>
      </c>
      <c r="J80" s="76" t="str">
        <f t="shared" si="19"/>
        <v/>
      </c>
      <c r="K80" s="77" t="str">
        <f t="shared" si="20"/>
        <v>Não</v>
      </c>
      <c r="L80" s="77" t="str">
        <f t="shared" si="18"/>
        <v/>
      </c>
      <c r="M80" s="281"/>
      <c r="N80" s="282"/>
      <c r="P80" s="317"/>
      <c r="R80" s="316"/>
    </row>
    <row r="81" spans="1:18" ht="13.5" customHeight="1">
      <c r="P81" s="36"/>
    </row>
    <row r="82" spans="1:18" ht="13.5" customHeight="1">
      <c r="P82" s="36"/>
    </row>
    <row r="83" spans="1:18">
      <c r="A83" s="260" t="s">
        <v>2</v>
      </c>
      <c r="B83" s="261"/>
      <c r="C83" s="261"/>
      <c r="D83" s="261"/>
      <c r="E83" s="262"/>
      <c r="F83" s="260" t="s">
        <v>3</v>
      </c>
      <c r="G83" s="261"/>
      <c r="H83" s="261"/>
      <c r="I83" s="260" t="s">
        <v>4</v>
      </c>
      <c r="J83" s="261"/>
      <c r="K83" s="261"/>
      <c r="L83" s="262"/>
      <c r="M83" s="260" t="s">
        <v>5</v>
      </c>
      <c r="N83" s="262"/>
      <c r="P83" s="36"/>
      <c r="R83" s="2"/>
    </row>
    <row r="84" spans="1:18">
      <c r="A84" s="263"/>
      <c r="B84" s="264"/>
      <c r="C84" s="264"/>
      <c r="D84" s="264"/>
      <c r="E84" s="265"/>
      <c r="F84" s="315" t="s">
        <v>132</v>
      </c>
      <c r="G84" s="315"/>
      <c r="H84" s="315"/>
      <c r="I84" s="269" t="s">
        <v>7</v>
      </c>
      <c r="J84" s="270"/>
      <c r="K84" s="270"/>
      <c r="L84" s="273"/>
      <c r="M84" s="271" t="s">
        <v>8</v>
      </c>
      <c r="N84" s="274"/>
      <c r="P84" s="36"/>
      <c r="R84" s="2"/>
    </row>
    <row r="85" spans="1:18">
      <c r="A85" s="266"/>
      <c r="B85" s="267"/>
      <c r="C85" s="267"/>
      <c r="D85" s="267"/>
      <c r="E85" s="268"/>
      <c r="F85" s="315"/>
      <c r="G85" s="315"/>
      <c r="H85" s="315"/>
      <c r="I85" s="271"/>
      <c r="J85" s="272"/>
      <c r="K85" s="272"/>
      <c r="L85" s="274"/>
      <c r="M85" s="275" t="s">
        <v>9</v>
      </c>
      <c r="N85" s="276"/>
      <c r="P85" s="36"/>
      <c r="R85" s="2"/>
    </row>
    <row r="86" spans="1:18" ht="22.5">
      <c r="A86" s="4" t="s">
        <v>10</v>
      </c>
      <c r="B86" s="4" t="s">
        <v>11</v>
      </c>
      <c r="C86" s="4" t="s">
        <v>12</v>
      </c>
      <c r="D86" s="5" t="s">
        <v>13</v>
      </c>
      <c r="E86" s="277" t="s">
        <v>14</v>
      </c>
      <c r="F86" s="277"/>
      <c r="G86" s="24" t="s">
        <v>15</v>
      </c>
      <c r="H86" s="24" t="s">
        <v>16</v>
      </c>
      <c r="I86" s="4" t="s">
        <v>17</v>
      </c>
      <c r="J86" s="4" t="s">
        <v>18</v>
      </c>
      <c r="K86" s="4"/>
      <c r="L86" s="4" t="s">
        <v>19</v>
      </c>
      <c r="M86" s="4" t="s">
        <v>20</v>
      </c>
      <c r="N86" s="4" t="s">
        <v>21</v>
      </c>
      <c r="P86" s="36"/>
      <c r="R86" s="2"/>
    </row>
    <row r="87" spans="1:18" ht="15" customHeight="1">
      <c r="A87" s="278"/>
      <c r="B87" s="278">
        <v>8</v>
      </c>
      <c r="C87" s="279"/>
      <c r="D87" s="113" t="s">
        <v>133</v>
      </c>
      <c r="E87" s="292">
        <v>45686</v>
      </c>
      <c r="F87" s="293"/>
      <c r="G87" s="86" t="s">
        <v>134</v>
      </c>
      <c r="H87" s="87" t="s">
        <v>135</v>
      </c>
      <c r="I87" s="75">
        <v>7.51</v>
      </c>
      <c r="J87" s="76">
        <f>IF(AND((STDEV(I$87:I$90)/AVERAGE(I$87:I$90))&lt;=0.25,ISNUMBER(I87)),I87,IF(AND(I87&lt;=(AVERAGE(I$87:I$90)+STDEV(I$87:I$90)),I87&gt;=(AVERAGE(I$87:I$90)-STDEV(I$87:I$90)),ISNUMBER(I87)),I87,""))</f>
        <v>7.51</v>
      </c>
      <c r="K87" s="77" t="str">
        <f>IF(I87="","",IF(AND(COUNT(I$87:I$90)=1,ISNUMBER(I87)),"Sim",IF(AND((STDEV(J$87:J$90)/AVERAGE(J$87:J$90))&lt;0.25,ISNUMBER(J87)),"Sim",IF(AND(J87&lt;=(AVERAGE(J$87:J$90)+STDEV(J$87:J$90)),J87&gt;=(AVERAGE(J$87:J$90)-STDEV(J$87:J$90)),ISNUMBER(J87)),"Sim","Não"))))</f>
        <v>Sim</v>
      </c>
      <c r="L87" s="77">
        <f>IF(K87="Sim",J87,"")</f>
        <v>7.51</v>
      </c>
      <c r="M87" s="281">
        <f>IF(I87="","",ROUND(IF(COUNT(I87:I90)=1,I87,IF((COUNT(L87:L90)&lt;3),MIN(L87:L90),AVERAGE(L87:L90))),2))</f>
        <v>6</v>
      </c>
      <c r="N87" s="282">
        <f>IF(M87="","",C87*M87)</f>
        <v>0</v>
      </c>
      <c r="P87" s="36"/>
      <c r="R87" s="2"/>
    </row>
    <row r="88" spans="1:18" ht="15" customHeight="1">
      <c r="A88" s="278"/>
      <c r="B88" s="278"/>
      <c r="C88" s="279"/>
      <c r="D88" s="87" t="s">
        <v>136</v>
      </c>
      <c r="E88" s="292" t="s">
        <v>137</v>
      </c>
      <c r="F88" s="293"/>
      <c r="G88" s="73" t="s">
        <v>138</v>
      </c>
      <c r="H88" s="73" t="s">
        <v>139</v>
      </c>
      <c r="I88" s="75">
        <v>6</v>
      </c>
      <c r="J88" s="76">
        <f>IF(AND((STDEV(I$87:I$90)/AVERAGE(I$87:I$90))&lt;=0.25,ISNUMBER(I88)),I88,IF(AND(I88&lt;=(AVERAGE(I$87:I$90)+STDEV(I$87:I$90)),I88&gt;=(AVERAGE(I$87:I$90)-STDEV(I$87:I$90)),ISNUMBER(I88)),I88,""))</f>
        <v>6</v>
      </c>
      <c r="K88" s="77" t="str">
        <f>IF(I88="","",IF(AND(COUNT(I$87:I$90)=1,ISNUMBER(I88)),"Sim",IF(AND((STDEV(J$87:J$90)/AVERAGE(J$87:J$90))&lt;0.25,ISNUMBER(J88)),"Sim",IF(AND(J88&lt;=(AVERAGE(J$87:J$90)+STDEV(J$87:J$90)),J88&gt;=(AVERAGE(J$87:J$90)-STDEV(J$87:J$90)),ISNUMBER(J88)),"Sim","Não"))))</f>
        <v>Sim</v>
      </c>
      <c r="L88" s="77">
        <f t="shared" ref="L88:L90" si="21">IF(K88="Sim",J88,"")</f>
        <v>6</v>
      </c>
      <c r="M88" s="281"/>
      <c r="N88" s="282"/>
      <c r="P88" s="36"/>
      <c r="R88" s="2"/>
    </row>
    <row r="89" spans="1:18" ht="15" customHeight="1">
      <c r="A89" s="278"/>
      <c r="B89" s="278"/>
      <c r="C89" s="279"/>
      <c r="D89" s="80" t="s">
        <v>32</v>
      </c>
      <c r="E89" s="286">
        <v>45807</v>
      </c>
      <c r="F89" s="287"/>
      <c r="G89" s="88" t="s">
        <v>140</v>
      </c>
      <c r="H89" s="87" t="s">
        <v>141</v>
      </c>
      <c r="I89" s="75">
        <v>14.29</v>
      </c>
      <c r="J89" s="76">
        <f>IF(AND((STDEV(I$87:I$90)/AVERAGE(I$87:I$90))&lt;=0.25,ISNUMBER(I89)),I89,IF(AND(I89&lt;=(AVERAGE(I$87:I$90)+STDEV(I$87:I$90)),I89&gt;=(AVERAGE(I$87:I$90)-STDEV(I$87:I$90)),ISNUMBER(I89)),I89,""))</f>
        <v>14.29</v>
      </c>
      <c r="K89" s="77" t="str">
        <f>IF(I89="","",IF(AND(COUNT(I$87:I$90)=1,ISNUMBER(I89)),"Sim",IF(AND((STDEV(J$87:J$90)/AVERAGE(J$87:J$90))&lt;0.25,ISNUMBER(J89)),"Sim",IF(AND(J89&lt;=(AVERAGE(J$87:J$90)+STDEV(J$87:J$90)),J89&gt;=(AVERAGE(J$87:J$90)-STDEV(J$87:J$90)),ISNUMBER(J89)),"Sim","Não"))))</f>
        <v>Não</v>
      </c>
      <c r="L89" s="77" t="str">
        <f t="shared" si="21"/>
        <v/>
      </c>
      <c r="M89" s="281"/>
      <c r="N89" s="282"/>
      <c r="P89" s="36"/>
      <c r="R89" s="2"/>
    </row>
    <row r="90" spans="1:18">
      <c r="A90" s="278"/>
      <c r="B90" s="278"/>
      <c r="C90" s="279"/>
      <c r="D90" s="80" t="s">
        <v>32</v>
      </c>
      <c r="E90" s="286">
        <v>45807</v>
      </c>
      <c r="F90" s="287"/>
      <c r="G90" s="105" t="s">
        <v>142</v>
      </c>
      <c r="H90" s="114" t="s">
        <v>143</v>
      </c>
      <c r="I90" s="75">
        <v>22.61</v>
      </c>
      <c r="J90" s="76" t="str">
        <f>IF(AND((STDEV(I$87:I$90)/AVERAGE(I$87:I$90))&lt;=0.25,ISNUMBER(I90)),I90,IF(AND(I90&lt;=(AVERAGE(I$87:I$90)+STDEV(I$87:I$90)),I90&gt;=(AVERAGE(I$87:I$90)-STDEV(I$87:I$90)),ISNUMBER(I90)),I90,""))</f>
        <v/>
      </c>
      <c r="K90" s="77" t="str">
        <f>IF(I90="","",IF(AND(COUNT(I$87:I$90)=1,ISNUMBER(I90)),"Sim",IF(AND((STDEV(J$87:J$90)/AVERAGE(J$87:J$90))&lt;0.25,ISNUMBER(J90)),"Sim",IF(AND(J90&lt;=(AVERAGE(J$87:J$90)+STDEV(J$87:J$90)),J90&gt;=(AVERAGE(J$87:J$90)-STDEV(J$87:J$90)),ISNUMBER(J90)),"Sim","Não"))))</f>
        <v>Não</v>
      </c>
      <c r="L90" s="77" t="str">
        <f t="shared" si="21"/>
        <v/>
      </c>
      <c r="M90" s="281"/>
      <c r="N90" s="282"/>
      <c r="P90" s="36"/>
      <c r="R90" s="2"/>
    </row>
    <row r="93" spans="1:18">
      <c r="A93" s="260" t="s">
        <v>2</v>
      </c>
      <c r="B93" s="261"/>
      <c r="C93" s="261"/>
      <c r="D93" s="261"/>
      <c r="E93" s="262"/>
      <c r="F93" s="260" t="s">
        <v>3</v>
      </c>
      <c r="G93" s="261"/>
      <c r="H93" s="261"/>
      <c r="I93" s="260" t="s">
        <v>4</v>
      </c>
      <c r="J93" s="261"/>
      <c r="K93" s="261"/>
      <c r="L93" s="262"/>
      <c r="M93" s="260" t="s">
        <v>5</v>
      </c>
      <c r="N93" s="262"/>
      <c r="P93" s="36"/>
    </row>
    <row r="94" spans="1:18" ht="15" customHeight="1">
      <c r="A94" s="263"/>
      <c r="B94" s="264"/>
      <c r="C94" s="264"/>
      <c r="D94" s="264"/>
      <c r="E94" s="265"/>
      <c r="F94" s="288" t="s">
        <v>144</v>
      </c>
      <c r="G94" s="289"/>
      <c r="H94" s="289"/>
      <c r="I94" s="269" t="s">
        <v>7</v>
      </c>
      <c r="J94" s="270"/>
      <c r="K94" s="270"/>
      <c r="L94" s="273"/>
      <c r="M94" s="271" t="s">
        <v>8</v>
      </c>
      <c r="N94" s="274"/>
      <c r="P94" s="36"/>
    </row>
    <row r="95" spans="1:18" ht="15" customHeight="1">
      <c r="A95" s="266"/>
      <c r="B95" s="267"/>
      <c r="C95" s="267"/>
      <c r="D95" s="267"/>
      <c r="E95" s="268"/>
      <c r="F95" s="290"/>
      <c r="G95" s="291"/>
      <c r="H95" s="291"/>
      <c r="I95" s="271"/>
      <c r="J95" s="272"/>
      <c r="K95" s="272"/>
      <c r="L95" s="274"/>
      <c r="M95" s="275" t="s">
        <v>9</v>
      </c>
      <c r="N95" s="276"/>
      <c r="P95" s="36"/>
    </row>
    <row r="96" spans="1:18" ht="24" customHeight="1">
      <c r="A96" s="4" t="s">
        <v>10</v>
      </c>
      <c r="B96" s="4" t="s">
        <v>11</v>
      </c>
      <c r="C96" s="4" t="s">
        <v>12</v>
      </c>
      <c r="D96" s="5" t="s">
        <v>13</v>
      </c>
      <c r="E96" s="277" t="s">
        <v>14</v>
      </c>
      <c r="F96" s="277"/>
      <c r="G96" s="24" t="s">
        <v>15</v>
      </c>
      <c r="H96" s="24" t="s">
        <v>16</v>
      </c>
      <c r="I96" s="4" t="s">
        <v>17</v>
      </c>
      <c r="J96" s="4" t="s">
        <v>18</v>
      </c>
      <c r="K96" s="4"/>
      <c r="L96" s="4" t="s">
        <v>19</v>
      </c>
      <c r="M96" s="4" t="s">
        <v>20</v>
      </c>
      <c r="N96" s="4" t="s">
        <v>21</v>
      </c>
    </row>
    <row r="97" spans="1:18" ht="15" customHeight="1">
      <c r="A97" s="278"/>
      <c r="B97" s="278">
        <v>9</v>
      </c>
      <c r="C97" s="279"/>
      <c r="D97" s="83" t="s">
        <v>145</v>
      </c>
      <c r="E97" s="294" t="s">
        <v>146</v>
      </c>
      <c r="F97" s="295"/>
      <c r="G97" s="83" t="s">
        <v>147</v>
      </c>
      <c r="H97" s="83" t="s">
        <v>148</v>
      </c>
      <c r="I97" s="75">
        <v>589</v>
      </c>
      <c r="J97" s="76">
        <f t="shared" ref="J97:J102" si="22">IF(AND((STDEV(I$97:I$102)/AVERAGE(I$97:I$102))&lt;=0.25,ISNUMBER(I97)),I97,IF(AND(I97&lt;=(AVERAGE(I$97:I$102)+STDEV(I$97:I$102)),I97&gt;=(AVERAGE(I$97:I$102)-STDEV(I$97:I$102)),ISNUMBER(I97)),I97,""))</f>
        <v>589</v>
      </c>
      <c r="K97" s="77" t="str">
        <f t="shared" ref="K97:K102" si="23">IF(I97="","",IF(AND(COUNT(I$97:I$102)=1,ISNUMBER(I97)),"Sim",IF(AND((STDEV(J$97:J$102)/AVERAGE(J$97:J$102))&lt;0.25,ISNUMBER(J97)),"Sim",IF(AND(J97&lt;=(AVERAGE(J$97:J$102)+STDEV(J$97:J$102)),J97&gt;=(AVERAGE(J$97:J$102)-STDEV(J$97:J$102)),ISNUMBER(J97)),"Sim","Não"))))</f>
        <v>Sim</v>
      </c>
      <c r="L97" s="77">
        <f t="shared" ref="L97:L102" si="24">IF(K97="Sim",J97,"")</f>
        <v>589</v>
      </c>
      <c r="M97" s="281">
        <f>IF(I97="","",ROUND(IF(COUNT(I97:I102)=1,I97,IF((COUNT(L97:L102)&lt;3),MIN(L97:L102),AVERAGE(L97:L102))),2))</f>
        <v>570.16999999999996</v>
      </c>
      <c r="N97" s="282">
        <f>IF(M97="","",C97*M97)</f>
        <v>0</v>
      </c>
      <c r="P97" s="317"/>
      <c r="R97" s="316"/>
    </row>
    <row r="98" spans="1:18" ht="15" customHeight="1">
      <c r="A98" s="278"/>
      <c r="B98" s="278"/>
      <c r="C98" s="279"/>
      <c r="D98" s="78" t="s">
        <v>149</v>
      </c>
      <c r="E98" s="294">
        <v>45673</v>
      </c>
      <c r="F98" s="295"/>
      <c r="G98" s="78" t="s">
        <v>150</v>
      </c>
      <c r="H98" s="83" t="s">
        <v>151</v>
      </c>
      <c r="I98" s="75">
        <v>542.5</v>
      </c>
      <c r="J98" s="76">
        <f t="shared" si="22"/>
        <v>542.5</v>
      </c>
      <c r="K98" s="77" t="str">
        <f t="shared" si="23"/>
        <v>Sim</v>
      </c>
      <c r="L98" s="77">
        <f t="shared" si="24"/>
        <v>542.5</v>
      </c>
      <c r="M98" s="281"/>
      <c r="N98" s="282"/>
      <c r="P98" s="317"/>
      <c r="R98" s="316"/>
    </row>
    <row r="99" spans="1:18" ht="15" customHeight="1">
      <c r="A99" s="278"/>
      <c r="B99" s="278"/>
      <c r="C99" s="279"/>
      <c r="D99" s="80" t="s">
        <v>32</v>
      </c>
      <c r="E99" s="286">
        <v>45807</v>
      </c>
      <c r="F99" s="287"/>
      <c r="G99" s="105" t="s">
        <v>152</v>
      </c>
      <c r="H99" s="82" t="s">
        <v>153</v>
      </c>
      <c r="I99" s="75">
        <v>119.97</v>
      </c>
      <c r="J99" s="76" t="str">
        <f t="shared" si="22"/>
        <v/>
      </c>
      <c r="K99" s="77" t="str">
        <f t="shared" si="23"/>
        <v>Não</v>
      </c>
      <c r="L99" s="77" t="str">
        <f t="shared" si="24"/>
        <v/>
      </c>
      <c r="M99" s="281"/>
      <c r="N99" s="282"/>
      <c r="P99" s="317"/>
      <c r="R99" s="316"/>
    </row>
    <row r="100" spans="1:18" ht="15" customHeight="1">
      <c r="A100" s="278"/>
      <c r="B100" s="278"/>
      <c r="C100" s="279"/>
      <c r="D100" s="80" t="s">
        <v>32</v>
      </c>
      <c r="E100" s="286">
        <v>45807</v>
      </c>
      <c r="F100" s="287"/>
      <c r="G100" s="111" t="s">
        <v>154</v>
      </c>
      <c r="H100" s="82" t="s">
        <v>155</v>
      </c>
      <c r="I100" s="75" t="s">
        <v>156</v>
      </c>
      <c r="J100" s="76" t="str">
        <f t="shared" si="22"/>
        <v/>
      </c>
      <c r="K100" s="77" t="str">
        <f t="shared" si="23"/>
        <v>Não</v>
      </c>
      <c r="L100" s="77" t="str">
        <f t="shared" si="24"/>
        <v/>
      </c>
      <c r="M100" s="281"/>
      <c r="N100" s="282"/>
      <c r="P100" s="317"/>
      <c r="R100" s="316"/>
    </row>
    <row r="101" spans="1:18" ht="15" customHeight="1">
      <c r="A101" s="278"/>
      <c r="B101" s="278"/>
      <c r="C101" s="279"/>
      <c r="D101" s="80" t="s">
        <v>32</v>
      </c>
      <c r="E101" s="286">
        <v>45807</v>
      </c>
      <c r="F101" s="287"/>
      <c r="G101" s="105" t="s">
        <v>51</v>
      </c>
      <c r="H101" s="73" t="s">
        <v>52</v>
      </c>
      <c r="I101" s="75">
        <v>579</v>
      </c>
      <c r="J101" s="76">
        <f t="shared" si="22"/>
        <v>579</v>
      </c>
      <c r="K101" s="77" t="str">
        <f t="shared" si="23"/>
        <v>Sim</v>
      </c>
      <c r="L101" s="77">
        <f t="shared" si="24"/>
        <v>579</v>
      </c>
      <c r="M101" s="281"/>
      <c r="N101" s="282"/>
      <c r="P101" s="317"/>
      <c r="R101" s="316"/>
    </row>
    <row r="102" spans="1:18">
      <c r="A102" s="278"/>
      <c r="B102" s="278"/>
      <c r="C102" s="279"/>
      <c r="D102" s="80" t="s">
        <v>32</v>
      </c>
      <c r="E102" s="286">
        <v>45807</v>
      </c>
      <c r="F102" s="287"/>
      <c r="G102" s="89" t="s">
        <v>157</v>
      </c>
      <c r="H102" s="82" t="s">
        <v>158</v>
      </c>
      <c r="I102" s="75">
        <v>310</v>
      </c>
      <c r="J102" s="76">
        <f t="shared" si="22"/>
        <v>310</v>
      </c>
      <c r="K102" s="77" t="str">
        <f t="shared" si="23"/>
        <v>Não</v>
      </c>
      <c r="L102" s="77" t="str">
        <f t="shared" si="24"/>
        <v/>
      </c>
      <c r="M102" s="281"/>
      <c r="N102" s="282"/>
      <c r="P102" s="317"/>
      <c r="R102" s="316"/>
    </row>
    <row r="103" spans="1:18">
      <c r="J103" s="132"/>
      <c r="K103" s="133"/>
      <c r="L103" s="133"/>
    </row>
    <row r="104" spans="1:18" ht="14.25" customHeight="1">
      <c r="C104" s="10"/>
      <c r="D104" s="11"/>
      <c r="E104" s="11"/>
      <c r="F104" s="11"/>
      <c r="G104" s="12"/>
      <c r="H104" s="12"/>
      <c r="I104" s="97"/>
      <c r="J104" s="14"/>
      <c r="K104" s="15"/>
      <c r="L104" s="15"/>
      <c r="M104" s="16"/>
      <c r="N104" s="16"/>
      <c r="P104" s="36"/>
    </row>
    <row r="105" spans="1:18">
      <c r="A105" s="260" t="s">
        <v>2</v>
      </c>
      <c r="B105" s="261"/>
      <c r="C105" s="261"/>
      <c r="D105" s="261"/>
      <c r="E105" s="262"/>
      <c r="F105" s="260" t="s">
        <v>3</v>
      </c>
      <c r="G105" s="261"/>
      <c r="H105" s="261"/>
      <c r="I105" s="260" t="s">
        <v>4</v>
      </c>
      <c r="J105" s="261"/>
      <c r="K105" s="261"/>
      <c r="L105" s="262"/>
      <c r="M105" s="260" t="s">
        <v>5</v>
      </c>
      <c r="N105" s="262"/>
      <c r="P105" s="36"/>
    </row>
    <row r="106" spans="1:18" ht="15" customHeight="1">
      <c r="A106" s="263"/>
      <c r="B106" s="264"/>
      <c r="C106" s="264"/>
      <c r="D106" s="264"/>
      <c r="E106" s="265"/>
      <c r="F106" s="269" t="s">
        <v>159</v>
      </c>
      <c r="G106" s="270"/>
      <c r="H106" s="270"/>
      <c r="I106" s="269" t="s">
        <v>7</v>
      </c>
      <c r="J106" s="270"/>
      <c r="K106" s="270"/>
      <c r="L106" s="273"/>
      <c r="M106" s="271" t="s">
        <v>8</v>
      </c>
      <c r="N106" s="274"/>
      <c r="P106" s="36"/>
    </row>
    <row r="107" spans="1:18" ht="15" customHeight="1">
      <c r="A107" s="266"/>
      <c r="B107" s="267"/>
      <c r="C107" s="267"/>
      <c r="D107" s="267"/>
      <c r="E107" s="268"/>
      <c r="F107" s="271"/>
      <c r="G107" s="272"/>
      <c r="H107" s="272"/>
      <c r="I107" s="271"/>
      <c r="J107" s="272"/>
      <c r="K107" s="272"/>
      <c r="L107" s="274"/>
      <c r="M107" s="275" t="s">
        <v>9</v>
      </c>
      <c r="N107" s="276"/>
    </row>
    <row r="108" spans="1:18" ht="24" customHeight="1">
      <c r="A108" s="4" t="s">
        <v>10</v>
      </c>
      <c r="B108" s="4" t="s">
        <v>11</v>
      </c>
      <c r="C108" s="4" t="s">
        <v>12</v>
      </c>
      <c r="D108" s="5" t="s">
        <v>13</v>
      </c>
      <c r="E108" s="277" t="s">
        <v>14</v>
      </c>
      <c r="F108" s="277"/>
      <c r="G108" s="24" t="s">
        <v>15</v>
      </c>
      <c r="H108" s="24" t="s">
        <v>16</v>
      </c>
      <c r="I108" s="4" t="s">
        <v>17</v>
      </c>
      <c r="J108" s="4" t="s">
        <v>18</v>
      </c>
      <c r="K108" s="4"/>
      <c r="L108" s="4" t="s">
        <v>19</v>
      </c>
      <c r="M108" s="4" t="s">
        <v>20</v>
      </c>
      <c r="N108" s="4" t="s">
        <v>21</v>
      </c>
      <c r="P108" s="37"/>
    </row>
    <row r="109" spans="1:18" ht="15" customHeight="1">
      <c r="A109" s="278"/>
      <c r="B109" s="278">
        <v>10</v>
      </c>
      <c r="C109" s="279"/>
      <c r="D109" s="80" t="s">
        <v>160</v>
      </c>
      <c r="E109" s="294">
        <v>45673</v>
      </c>
      <c r="F109" s="295"/>
      <c r="G109" s="80" t="s">
        <v>150</v>
      </c>
      <c r="H109" s="90" t="s">
        <v>161</v>
      </c>
      <c r="I109" s="75">
        <v>308.88</v>
      </c>
      <c r="J109" s="76">
        <f>IF(AND((STDEV(I$109:I$114)/AVERAGE(I$109:I$114))&lt;=0.25,ISNUMBER(I109)),I109,IF(AND(I109&lt;=(AVERAGE(I$109:I$114)+STDEV(I$109:I$114)),I109&gt;=(AVERAGE(I$109:I$114)-STDEV(I$109:I$114)),ISNUMBER(I109)),I109,""))</f>
        <v>308.88</v>
      </c>
      <c r="K109" s="77" t="str">
        <f>IF(I109="","",IF(AND(COUNT(I$109:I$114)=1,ISNUMBER(I109)),"Sim",IF(AND((STDEV(J$109:J$114)/AVERAGE(J$109:J$114))&lt;0.25,ISNUMBER(J109)),"Sim",IF(AND(J109&lt;=(AVERAGE(J$109:J$114)+STDEV(J$109:J$114)),J109&gt;=(AVERAGE(J$109:J$114)-STDEV(J$109:J$114)),ISNUMBER(J109)),"Sim","Não"))))</f>
        <v>Não</v>
      </c>
      <c r="L109" s="77" t="str">
        <f t="shared" ref="L109:L114" si="25">IF(K109="Sim",J109,"")</f>
        <v/>
      </c>
      <c r="M109" s="281">
        <f>IF(I109="","",ROUND(IF(COUNT(I109:I114)=1,I109,IF((COUNT(L109:L114)&lt;3),MIN(L109:L114),AVERAGE(L109:L114))),2))</f>
        <v>126.22</v>
      </c>
      <c r="N109" s="282">
        <f>IF(M109="","",C109*M109)</f>
        <v>0</v>
      </c>
      <c r="P109" s="317"/>
      <c r="R109" s="316"/>
    </row>
    <row r="110" spans="1:18">
      <c r="A110" s="278"/>
      <c r="B110" s="278"/>
      <c r="C110" s="279"/>
      <c r="D110" s="78" t="s">
        <v>162</v>
      </c>
      <c r="E110" s="294" t="s">
        <v>163</v>
      </c>
      <c r="F110" s="295"/>
      <c r="G110" s="83" t="s">
        <v>164</v>
      </c>
      <c r="H110" s="91" t="s">
        <v>165</v>
      </c>
      <c r="I110" s="75">
        <v>99.99</v>
      </c>
      <c r="J110" s="76">
        <f t="shared" ref="J110:J114" si="26">IF(AND((STDEV(I$109:I$114)/AVERAGE(I$109:I$114))&lt;=0.25,ISNUMBER(I110)),I110,IF(AND(I110&lt;=(AVERAGE(I$109:I$114)+STDEV(I$109:I$114)),I110&gt;=(AVERAGE(I$109:I$114)-STDEV(I$109:I$114)),ISNUMBER(I110)),I110,""))</f>
        <v>99.99</v>
      </c>
      <c r="K110" s="77" t="str">
        <f t="shared" ref="K110:K114" si="27">IF(I110="","",IF(AND(COUNT(I$109:I$114)=1,ISNUMBER(I110)),"Sim",IF(AND((STDEV(J$109:J$114)/AVERAGE(J$109:J$114))&lt;0.25,ISNUMBER(J110)),"Sim",IF(AND(J110&lt;=(AVERAGE(J$109:J$114)+STDEV(J$109:J$114)),J110&gt;=(AVERAGE(J$109:J$114)-STDEV(J$109:J$114)),ISNUMBER(J110)),"Sim","Não"))))</f>
        <v>Sim</v>
      </c>
      <c r="L110" s="77">
        <f t="shared" si="25"/>
        <v>99.99</v>
      </c>
      <c r="M110" s="281"/>
      <c r="N110" s="282"/>
      <c r="P110" s="317"/>
      <c r="R110" s="316"/>
    </row>
    <row r="111" spans="1:18">
      <c r="A111" s="278"/>
      <c r="B111" s="278"/>
      <c r="C111" s="279"/>
      <c r="D111" s="80" t="s">
        <v>32</v>
      </c>
      <c r="E111" s="286">
        <v>45807</v>
      </c>
      <c r="F111" s="287"/>
      <c r="G111" s="105" t="s">
        <v>166</v>
      </c>
      <c r="H111" s="115" t="s">
        <v>167</v>
      </c>
      <c r="I111" s="75">
        <v>399.99</v>
      </c>
      <c r="J111" s="76" t="str">
        <f t="shared" si="26"/>
        <v/>
      </c>
      <c r="K111" s="77" t="str">
        <f t="shared" si="27"/>
        <v>Não</v>
      </c>
      <c r="L111" s="77" t="str">
        <f t="shared" si="25"/>
        <v/>
      </c>
      <c r="M111" s="281"/>
      <c r="N111" s="282"/>
      <c r="P111" s="317"/>
      <c r="R111" s="316"/>
    </row>
    <row r="112" spans="1:18">
      <c r="A112" s="278"/>
      <c r="B112" s="278"/>
      <c r="C112" s="279"/>
      <c r="D112" s="80" t="s">
        <v>32</v>
      </c>
      <c r="E112" s="286">
        <v>45807</v>
      </c>
      <c r="F112" s="287"/>
      <c r="G112" s="105" t="s">
        <v>168</v>
      </c>
      <c r="H112" s="92" t="s">
        <v>169</v>
      </c>
      <c r="I112" s="75">
        <v>125.9</v>
      </c>
      <c r="J112" s="76">
        <f t="shared" si="26"/>
        <v>125.9</v>
      </c>
      <c r="K112" s="77" t="str">
        <f t="shared" si="27"/>
        <v>Sim</v>
      </c>
      <c r="L112" s="77">
        <f t="shared" si="25"/>
        <v>125.9</v>
      </c>
      <c r="M112" s="281"/>
      <c r="N112" s="282"/>
      <c r="P112" s="317"/>
      <c r="R112" s="316"/>
    </row>
    <row r="113" spans="1:18">
      <c r="A113" s="278"/>
      <c r="B113" s="278"/>
      <c r="C113" s="279"/>
      <c r="D113" s="80" t="s">
        <v>32</v>
      </c>
      <c r="E113" s="286">
        <v>45807</v>
      </c>
      <c r="F113" s="287"/>
      <c r="G113" s="105" t="s">
        <v>170</v>
      </c>
      <c r="H113" s="92" t="s">
        <v>171</v>
      </c>
      <c r="I113" s="75">
        <v>140</v>
      </c>
      <c r="J113" s="76">
        <f t="shared" si="26"/>
        <v>140</v>
      </c>
      <c r="K113" s="77" t="str">
        <f t="shared" si="27"/>
        <v>Sim</v>
      </c>
      <c r="L113" s="77">
        <f t="shared" si="25"/>
        <v>140</v>
      </c>
      <c r="M113" s="281"/>
      <c r="N113" s="282"/>
      <c r="P113" s="317"/>
      <c r="R113" s="316"/>
    </row>
    <row r="114" spans="1:18">
      <c r="A114" s="278"/>
      <c r="B114" s="278"/>
      <c r="C114" s="279"/>
      <c r="D114" s="80" t="s">
        <v>32</v>
      </c>
      <c r="E114" s="286">
        <v>45807</v>
      </c>
      <c r="F114" s="287"/>
      <c r="G114" s="105" t="s">
        <v>172</v>
      </c>
      <c r="H114" s="92" t="s">
        <v>173</v>
      </c>
      <c r="I114" s="75">
        <v>139</v>
      </c>
      <c r="J114" s="76">
        <f t="shared" si="26"/>
        <v>139</v>
      </c>
      <c r="K114" s="77" t="str">
        <f t="shared" si="27"/>
        <v>Sim</v>
      </c>
      <c r="L114" s="77">
        <f t="shared" si="25"/>
        <v>139</v>
      </c>
      <c r="M114" s="281"/>
      <c r="N114" s="282"/>
      <c r="P114" s="317"/>
      <c r="R114" s="316"/>
    </row>
    <row r="115" spans="1:18" ht="15.75" customHeight="1">
      <c r="C115" s="10"/>
      <c r="D115" s="11"/>
      <c r="E115" s="11"/>
      <c r="F115" s="11"/>
      <c r="G115" s="12"/>
      <c r="H115" s="12"/>
      <c r="I115" s="97"/>
      <c r="J115" s="14"/>
      <c r="K115" s="15"/>
      <c r="L115" s="15"/>
      <c r="M115" s="16"/>
      <c r="N115" s="16"/>
      <c r="P115" s="36"/>
    </row>
    <row r="116" spans="1:18" ht="15.75" customHeight="1">
      <c r="C116" s="10"/>
      <c r="D116" s="11"/>
      <c r="E116" s="11"/>
      <c r="F116" s="11"/>
      <c r="G116" s="12"/>
      <c r="H116" s="12"/>
      <c r="I116" s="97"/>
      <c r="J116" s="14"/>
      <c r="K116" s="15"/>
      <c r="L116" s="15"/>
      <c r="M116" s="16"/>
      <c r="N116" s="16"/>
      <c r="P116" s="36"/>
    </row>
    <row r="117" spans="1:18" ht="12" customHeight="1">
      <c r="A117" s="260" t="s">
        <v>2</v>
      </c>
      <c r="B117" s="261"/>
      <c r="C117" s="261"/>
      <c r="D117" s="261"/>
      <c r="E117" s="262"/>
      <c r="F117" s="260" t="s">
        <v>3</v>
      </c>
      <c r="G117" s="261"/>
      <c r="H117" s="261"/>
      <c r="I117" s="260" t="s">
        <v>4</v>
      </c>
      <c r="J117" s="261"/>
      <c r="K117" s="261"/>
      <c r="L117" s="262"/>
      <c r="M117" s="260" t="s">
        <v>5</v>
      </c>
      <c r="N117" s="262"/>
      <c r="P117" s="37"/>
    </row>
    <row r="118" spans="1:18" ht="11.25" customHeight="1">
      <c r="A118" s="263"/>
      <c r="B118" s="264"/>
      <c r="C118" s="264"/>
      <c r="D118" s="264"/>
      <c r="E118" s="265"/>
      <c r="F118" s="269" t="s">
        <v>174</v>
      </c>
      <c r="G118" s="270"/>
      <c r="H118" s="270"/>
      <c r="I118" s="269" t="s">
        <v>7</v>
      </c>
      <c r="J118" s="270"/>
      <c r="K118" s="270"/>
      <c r="L118" s="273"/>
      <c r="M118" s="271" t="s">
        <v>8</v>
      </c>
      <c r="N118" s="274"/>
      <c r="P118" s="37"/>
    </row>
    <row r="119" spans="1:18" ht="15" customHeight="1">
      <c r="A119" s="266"/>
      <c r="B119" s="267"/>
      <c r="C119" s="267"/>
      <c r="D119" s="267"/>
      <c r="E119" s="268"/>
      <c r="F119" s="271"/>
      <c r="G119" s="272"/>
      <c r="H119" s="272"/>
      <c r="I119" s="271"/>
      <c r="J119" s="272"/>
      <c r="K119" s="272"/>
      <c r="L119" s="274"/>
      <c r="M119" s="275" t="s">
        <v>9</v>
      </c>
      <c r="N119" s="276"/>
      <c r="P119" s="37"/>
    </row>
    <row r="120" spans="1:18" ht="24" customHeight="1">
      <c r="A120" s="4" t="s">
        <v>10</v>
      </c>
      <c r="B120" s="4" t="s">
        <v>11</v>
      </c>
      <c r="C120" s="4" t="s">
        <v>12</v>
      </c>
      <c r="D120" s="5" t="s">
        <v>13</v>
      </c>
      <c r="E120" s="277" t="s">
        <v>14</v>
      </c>
      <c r="F120" s="277"/>
      <c r="G120" s="24" t="s">
        <v>15</v>
      </c>
      <c r="H120" s="24" t="s">
        <v>16</v>
      </c>
      <c r="I120" s="4" t="s">
        <v>17</v>
      </c>
      <c r="J120" s="4" t="s">
        <v>18</v>
      </c>
      <c r="K120" s="4"/>
      <c r="L120" s="4" t="s">
        <v>19</v>
      </c>
      <c r="M120" s="4" t="s">
        <v>20</v>
      </c>
      <c r="N120" s="4" t="s">
        <v>21</v>
      </c>
      <c r="P120" s="37"/>
    </row>
    <row r="121" spans="1:18" ht="13.5" customHeight="1">
      <c r="A121" s="278"/>
      <c r="B121" s="278">
        <v>11</v>
      </c>
      <c r="C121" s="279"/>
      <c r="D121" s="93" t="s">
        <v>175</v>
      </c>
      <c r="E121" s="285">
        <v>45688</v>
      </c>
      <c r="F121" s="285"/>
      <c r="G121" s="83" t="s">
        <v>176</v>
      </c>
      <c r="H121" s="94" t="s">
        <v>177</v>
      </c>
      <c r="I121" s="75">
        <v>188</v>
      </c>
      <c r="J121" s="76">
        <f>IF(AND((STDEV(I$121:I$125)/AVERAGE(I$121:I$125))&lt;=0.25,ISNUMBER(I121)),I121,IF(AND(I121&lt;=(AVERAGE(I$121:I$125)+STDEV(I$121:I$125)),I121&gt;=(AVERAGE(I$121:I$125)-STDEV(I$121:I$125)),ISNUMBER(I121)),I121,""))</f>
        <v>188</v>
      </c>
      <c r="K121" s="77" t="str">
        <f>IF(I121="","",IF(AND(COUNT(I$121:I$125)=1,ISNUMBER(I121)),"Sim",IF(AND((STDEV(J$121:J$125)/AVERAGE(J$121:J$125))&lt;0.25,ISNUMBER(J121)),"Sim",IF(AND(J121&lt;=(AVERAGE(J$121:J$125)+STDEV(J$121:J$125)),J121&gt;=(AVERAGE(J$121:J$125)-STDEV(J$121:J$125)),ISNUMBER(J121)),"Sim","Não"))))</f>
        <v>Sim</v>
      </c>
      <c r="L121" s="77">
        <f t="shared" ref="L121:L125" si="28">IF(K121="Sim",J121,"")</f>
        <v>188</v>
      </c>
      <c r="M121" s="281">
        <f>IF(I121="","",ROUND(IF(COUNT(I121:I125)=1,I121,IF((COUNT(L121:L125)&lt;3),MIN(L121:L125),AVERAGE(L121:L125))),2))</f>
        <v>174</v>
      </c>
      <c r="N121" s="282">
        <f>IF(M121="","",C121*M121)</f>
        <v>0</v>
      </c>
      <c r="P121" s="317"/>
      <c r="R121" s="316"/>
    </row>
    <row r="122" spans="1:18" ht="12.75" customHeight="1">
      <c r="A122" s="278"/>
      <c r="B122" s="278"/>
      <c r="C122" s="279"/>
      <c r="D122" s="93" t="s">
        <v>178</v>
      </c>
      <c r="E122" s="294" t="s">
        <v>179</v>
      </c>
      <c r="F122" s="295"/>
      <c r="G122" s="83" t="s">
        <v>134</v>
      </c>
      <c r="H122" s="83" t="s">
        <v>180</v>
      </c>
      <c r="I122" s="75">
        <v>78</v>
      </c>
      <c r="J122" s="76" t="str">
        <f>IF(AND((STDEV(I$121:I$125)/AVERAGE(I$121:I$125))&lt;=0.25,ISNUMBER(I122)),I122,IF(AND(I122&lt;=(AVERAGE(I$121:I$125)+STDEV(I$121:I$125)),I122&gt;=(AVERAGE(I$121:I$125)-STDEV(I$121:I$125)),ISNUMBER(I122)),I122,""))</f>
        <v/>
      </c>
      <c r="K122" s="77" t="str">
        <f>IF(I122="","",IF(AND(COUNT(I$121:I$125)=1,ISNUMBER(I122)),"Sim",IF(AND((STDEV(J$121:J$125)/AVERAGE(J$121:J$125))&lt;0.25,ISNUMBER(J122)),"Sim",IF(AND(J122&lt;=(AVERAGE(J$121:J$125)+STDEV(J$121:J$125)),J122&gt;=(AVERAGE(J$121:J$125)-STDEV(J$121:J$125)),ISNUMBER(J122)),"Sim","Não"))))</f>
        <v>Não</v>
      </c>
      <c r="L122" s="77" t="str">
        <f t="shared" si="28"/>
        <v/>
      </c>
      <c r="M122" s="281"/>
      <c r="N122" s="282"/>
      <c r="P122" s="317"/>
      <c r="R122" s="316"/>
    </row>
    <row r="123" spans="1:18" ht="15" customHeight="1">
      <c r="A123" s="278"/>
      <c r="B123" s="278"/>
      <c r="C123" s="279"/>
      <c r="D123" s="80" t="s">
        <v>32</v>
      </c>
      <c r="E123" s="286">
        <v>45807</v>
      </c>
      <c r="F123" s="287"/>
      <c r="G123" s="105" t="s">
        <v>51</v>
      </c>
      <c r="H123" s="73" t="s">
        <v>52</v>
      </c>
      <c r="I123" s="75">
        <v>199</v>
      </c>
      <c r="J123" s="76">
        <f>IF(AND((STDEV(I$121:I$125)/AVERAGE(I$121:I$125))&lt;=0.25,ISNUMBER(I123)),I123,IF(AND(I123&lt;=(AVERAGE(I$121:I$125)+STDEV(I$121:I$125)),I123&gt;=(AVERAGE(I$121:I$125)-STDEV(I$121:I$125)),ISNUMBER(I123)),I123,""))</f>
        <v>199</v>
      </c>
      <c r="K123" s="77" t="str">
        <f>IF(I123="","",IF(AND(COUNT(I$121:I$125)=1,ISNUMBER(I123)),"Sim",IF(AND((STDEV(J$121:J$125)/AVERAGE(J$121:J$125))&lt;0.25,ISNUMBER(J123)),"Sim",IF(AND(J123&lt;=(AVERAGE(J$121:J$125)+STDEV(J$121:J$125)),J123&gt;=(AVERAGE(J$121:J$125)-STDEV(J$121:J$125)),ISNUMBER(J123)),"Sim","Não"))))</f>
        <v>Sim</v>
      </c>
      <c r="L123" s="77">
        <f t="shared" si="28"/>
        <v>199</v>
      </c>
      <c r="M123" s="281"/>
      <c r="N123" s="282"/>
      <c r="P123" s="317"/>
      <c r="R123" s="316"/>
    </row>
    <row r="124" spans="1:18" ht="15" customHeight="1">
      <c r="A124" s="278"/>
      <c r="B124" s="278"/>
      <c r="C124" s="279"/>
      <c r="D124" s="80" t="s">
        <v>32</v>
      </c>
      <c r="E124" s="286">
        <v>45807</v>
      </c>
      <c r="F124" s="287"/>
      <c r="G124" s="105" t="s">
        <v>181</v>
      </c>
      <c r="H124" s="80" t="s">
        <v>182</v>
      </c>
      <c r="I124" s="75">
        <v>239</v>
      </c>
      <c r="J124" s="76" t="str">
        <f>IF(AND((STDEV(I$121:I$125)/AVERAGE(I$121:I$125))&lt;=0.25,ISNUMBER(I124)),I124,IF(AND(I124&lt;=(AVERAGE(I$121:I$125)+STDEV(I$121:I$125)),I124&gt;=(AVERAGE(I$121:I$125)-STDEV(I$121:I$125)),ISNUMBER(I124)),I124,""))</f>
        <v/>
      </c>
      <c r="K124" s="77" t="str">
        <f>IF(I124="","",IF(AND(COUNT(I$121:I$125)=1,ISNUMBER(I124)),"Sim",IF(AND((STDEV(J$121:J$125)/AVERAGE(J$121:J$125))&lt;0.25,ISNUMBER(J124)),"Sim",IF(AND(J124&lt;=(AVERAGE(J$121:J$125)+STDEV(J$121:J$125)),J124&gt;=(AVERAGE(J$121:J$125)-STDEV(J$121:J$125)),ISNUMBER(J124)),"Sim","Não"))))</f>
        <v>Não</v>
      </c>
      <c r="L124" s="77" t="str">
        <f t="shared" si="28"/>
        <v/>
      </c>
      <c r="M124" s="281"/>
      <c r="N124" s="282"/>
      <c r="P124" s="317"/>
      <c r="R124" s="316"/>
    </row>
    <row r="125" spans="1:18" ht="15" customHeight="1">
      <c r="A125" s="278"/>
      <c r="B125" s="278"/>
      <c r="C125" s="279"/>
      <c r="D125" s="80" t="s">
        <v>32</v>
      </c>
      <c r="E125" s="286">
        <v>45807</v>
      </c>
      <c r="F125" s="287"/>
      <c r="G125" s="105" t="s">
        <v>170</v>
      </c>
      <c r="H125" s="92" t="s">
        <v>171</v>
      </c>
      <c r="I125" s="75">
        <v>135</v>
      </c>
      <c r="J125" s="76">
        <f>IF(AND((STDEV(I$121:I$125)/AVERAGE(I$121:I$125))&lt;=0.25,ISNUMBER(I125)),I125,IF(AND(I125&lt;=(AVERAGE(I$121:I$125)+STDEV(I$121:I$125)),I125&gt;=(AVERAGE(I$121:I$125)-STDEV(I$121:I$125)),ISNUMBER(I125)),I125,""))</f>
        <v>135</v>
      </c>
      <c r="K125" s="77" t="str">
        <f>IF(I125="","",IF(AND(COUNT(I$121:I$125)=1,ISNUMBER(I125)),"Sim",IF(AND((STDEV(J$121:J$125)/AVERAGE(J$121:J$125))&lt;0.25,ISNUMBER(J125)),"Sim",IF(AND(J125&lt;=(AVERAGE(J$121:J$125)+STDEV(J$121:J$125)),J125&gt;=(AVERAGE(J$121:J$125)-STDEV(J$121:J$125)),ISNUMBER(J125)),"Sim","Não"))))</f>
        <v>Sim</v>
      </c>
      <c r="L125" s="77">
        <f t="shared" si="28"/>
        <v>135</v>
      </c>
      <c r="M125" s="281"/>
      <c r="N125" s="282"/>
      <c r="P125" s="317"/>
      <c r="R125" s="316"/>
    </row>
    <row r="126" spans="1:18" ht="15.75" customHeight="1">
      <c r="C126" s="10"/>
      <c r="D126" s="11"/>
      <c r="E126" s="11"/>
      <c r="F126" s="11"/>
      <c r="G126" s="12"/>
      <c r="H126" s="12"/>
      <c r="I126" s="97"/>
      <c r="J126" s="14"/>
      <c r="K126" s="15"/>
      <c r="L126" s="15"/>
      <c r="M126" s="16"/>
      <c r="N126" s="16"/>
      <c r="P126" s="36"/>
    </row>
    <row r="127" spans="1:18" ht="15.75" customHeight="1">
      <c r="C127" s="10"/>
      <c r="D127" s="11"/>
      <c r="E127" s="11"/>
      <c r="F127" s="11"/>
      <c r="G127" s="12"/>
      <c r="H127" s="12"/>
      <c r="I127" s="97"/>
      <c r="J127" s="14"/>
      <c r="K127" s="15"/>
      <c r="L127" s="15"/>
      <c r="M127" s="16"/>
      <c r="N127" s="16"/>
      <c r="P127" s="36"/>
    </row>
    <row r="128" spans="1:18" ht="15.75" customHeight="1">
      <c r="A128" s="260" t="s">
        <v>2</v>
      </c>
      <c r="B128" s="261"/>
      <c r="C128" s="261"/>
      <c r="D128" s="261"/>
      <c r="E128" s="262"/>
      <c r="F128" s="260" t="s">
        <v>3</v>
      </c>
      <c r="G128" s="261"/>
      <c r="H128" s="261"/>
      <c r="I128" s="260" t="s">
        <v>4</v>
      </c>
      <c r="J128" s="261"/>
      <c r="K128" s="261"/>
      <c r="L128" s="262"/>
      <c r="M128" s="260" t="s">
        <v>5</v>
      </c>
      <c r="N128" s="262"/>
      <c r="P128" s="36"/>
    </row>
    <row r="129" spans="1:18" ht="15.75" customHeight="1">
      <c r="A129" s="263"/>
      <c r="B129" s="264"/>
      <c r="C129" s="264"/>
      <c r="D129" s="264"/>
      <c r="E129" s="265"/>
      <c r="F129" s="269" t="s">
        <v>183</v>
      </c>
      <c r="G129" s="270"/>
      <c r="H129" s="270"/>
      <c r="I129" s="269" t="s">
        <v>7</v>
      </c>
      <c r="J129" s="270"/>
      <c r="K129" s="270"/>
      <c r="L129" s="273"/>
      <c r="M129" s="271" t="s">
        <v>8</v>
      </c>
      <c r="N129" s="274"/>
      <c r="P129" s="36"/>
    </row>
    <row r="130" spans="1:18" ht="15.75" customHeight="1">
      <c r="A130" s="266"/>
      <c r="B130" s="267"/>
      <c r="C130" s="267"/>
      <c r="D130" s="267"/>
      <c r="E130" s="268"/>
      <c r="F130" s="271"/>
      <c r="G130" s="272"/>
      <c r="H130" s="272"/>
      <c r="I130" s="271"/>
      <c r="J130" s="272"/>
      <c r="K130" s="272"/>
      <c r="L130" s="274"/>
      <c r="M130" s="275" t="s">
        <v>9</v>
      </c>
      <c r="N130" s="276"/>
      <c r="P130" s="36"/>
    </row>
    <row r="131" spans="1:18" ht="22.5">
      <c r="A131" s="4" t="s">
        <v>10</v>
      </c>
      <c r="B131" s="4" t="s">
        <v>11</v>
      </c>
      <c r="C131" s="4" t="s">
        <v>12</v>
      </c>
      <c r="D131" s="5" t="s">
        <v>13</v>
      </c>
      <c r="E131" s="277" t="s">
        <v>14</v>
      </c>
      <c r="F131" s="277"/>
      <c r="G131" s="24" t="s">
        <v>15</v>
      </c>
      <c r="H131" s="24" t="s">
        <v>16</v>
      </c>
      <c r="I131" s="4" t="s">
        <v>17</v>
      </c>
      <c r="J131" s="4" t="s">
        <v>18</v>
      </c>
      <c r="K131" s="4"/>
      <c r="L131" s="4" t="s">
        <v>19</v>
      </c>
      <c r="M131" s="4" t="s">
        <v>20</v>
      </c>
      <c r="N131" s="4" t="s">
        <v>21</v>
      </c>
      <c r="P131" s="36"/>
    </row>
    <row r="132" spans="1:18" ht="15.75" customHeight="1">
      <c r="A132" s="278"/>
      <c r="B132" s="278">
        <v>12</v>
      </c>
      <c r="C132" s="279"/>
      <c r="D132" s="78" t="s">
        <v>184</v>
      </c>
      <c r="E132" s="294">
        <v>45670</v>
      </c>
      <c r="F132" s="295"/>
      <c r="G132" s="169" t="s">
        <v>185</v>
      </c>
      <c r="H132" s="83" t="s">
        <v>186</v>
      </c>
      <c r="I132" s="75">
        <v>307</v>
      </c>
      <c r="J132" s="76">
        <f>IF(AND((STDEV(I$132:I$139)/AVERAGE(I$132:I$139))&lt;=0.25,ISNUMBER(I132)),I132,IF(AND(I132&lt;=(AVERAGE(I$132:I$139)+STDEV(I$132:I$139)),I132&gt;=(AVERAGE(I$132:I$139)-STDEV(I$132:I$139)),ISNUMBER(I132)),I132,""))</f>
        <v>307</v>
      </c>
      <c r="K132" s="77" t="str">
        <f t="shared" ref="K132:K139" si="29">IF(I132="","",IF(AND(COUNT(I$132:I$139)=1,ISNUMBER(I132)),"Sim",IF(AND((STDEV(J$132:J$139)/AVERAGE(J$132:J$139))&lt;0.25,ISNUMBER(J132)),"Sim",IF(AND(J132&lt;=(AVERAGE(J$132:J$139)+STDEV(J$132:J$139)),J132&gt;=(AVERAGE(J$132:J$139)-STDEV(J$132:J$139)),ISNUMBER(J132)),"Sim","Não"))))</f>
        <v>Sim</v>
      </c>
      <c r="L132" s="77">
        <f t="shared" ref="L132:L139" si="30">IF(K132="Sim",J132,"")</f>
        <v>307</v>
      </c>
      <c r="M132" s="281">
        <f>IF(I132="","",ROUND(IF(COUNT(I132:I139)=1,I132,IF((COUNT(L132:L139)&lt;3),MIN(L132:L139),AVERAGE(L132:L139))),2))</f>
        <v>384.2</v>
      </c>
      <c r="N132" s="282">
        <f>IF(M132="","",C132*M132)</f>
        <v>0</v>
      </c>
      <c r="P132" s="36"/>
      <c r="R132" s="316"/>
    </row>
    <row r="133" spans="1:18" ht="15.75" customHeight="1">
      <c r="A133" s="278"/>
      <c r="B133" s="278"/>
      <c r="C133" s="279"/>
      <c r="D133" s="83" t="s">
        <v>187</v>
      </c>
      <c r="E133" s="292">
        <v>45692</v>
      </c>
      <c r="F133" s="301"/>
      <c r="G133" s="168" t="s">
        <v>188</v>
      </c>
      <c r="H133" s="121" t="s">
        <v>189</v>
      </c>
      <c r="I133" s="75">
        <v>230.71</v>
      </c>
      <c r="J133" s="76" t="str">
        <f t="shared" ref="J133:J139" si="31">IF(AND((STDEV(I$132:I$139)/AVERAGE(I$132:I$139))&lt;=0.25,ISNUMBER(I133)),I133,IF(AND(I133&lt;=(AVERAGE(I$132:I$139)+STDEV(I$132:I$139)),I133&gt;=(AVERAGE(I$132:I$139)-STDEV(I$132:I$139)),ISNUMBER(I133)),I133,""))</f>
        <v/>
      </c>
      <c r="K133" s="77" t="str">
        <f t="shared" si="29"/>
        <v>Não</v>
      </c>
      <c r="L133" s="77" t="str">
        <f t="shared" si="30"/>
        <v/>
      </c>
      <c r="M133" s="281"/>
      <c r="N133" s="282"/>
      <c r="P133" s="36"/>
      <c r="R133" s="316"/>
    </row>
    <row r="134" spans="1:18" ht="15.75" customHeight="1">
      <c r="A134" s="278"/>
      <c r="B134" s="278"/>
      <c r="C134" s="279"/>
      <c r="D134" s="80" t="s">
        <v>86</v>
      </c>
      <c r="E134" s="296">
        <v>45693</v>
      </c>
      <c r="F134" s="297"/>
      <c r="G134" s="167" t="s">
        <v>190</v>
      </c>
      <c r="H134" s="73" t="s">
        <v>191</v>
      </c>
      <c r="I134" s="75">
        <v>177.37</v>
      </c>
      <c r="J134" s="76" t="str">
        <f t="shared" si="31"/>
        <v/>
      </c>
      <c r="K134" s="77" t="str">
        <f t="shared" si="29"/>
        <v>Não</v>
      </c>
      <c r="L134" s="77" t="str">
        <f t="shared" si="30"/>
        <v/>
      </c>
      <c r="M134" s="281"/>
      <c r="N134" s="282"/>
      <c r="P134" s="36"/>
      <c r="R134" s="316"/>
    </row>
    <row r="135" spans="1:18" ht="15.75" customHeight="1">
      <c r="A135" s="278"/>
      <c r="B135" s="278"/>
      <c r="C135" s="279"/>
      <c r="D135" s="80" t="s">
        <v>32</v>
      </c>
      <c r="E135" s="286">
        <v>45807</v>
      </c>
      <c r="F135" s="287"/>
      <c r="G135" s="105" t="s">
        <v>192</v>
      </c>
      <c r="H135" s="117" t="s">
        <v>193</v>
      </c>
      <c r="I135" s="75">
        <v>419.9</v>
      </c>
      <c r="J135" s="76">
        <f t="shared" si="31"/>
        <v>419.9</v>
      </c>
      <c r="K135" s="77" t="str">
        <f t="shared" si="29"/>
        <v>Sim</v>
      </c>
      <c r="L135" s="77">
        <f t="shared" si="30"/>
        <v>419.9</v>
      </c>
      <c r="M135" s="281"/>
      <c r="N135" s="282"/>
      <c r="P135" s="36"/>
      <c r="R135" s="316"/>
    </row>
    <row r="136" spans="1:18" ht="15.75" customHeight="1">
      <c r="A136" s="278"/>
      <c r="B136" s="278"/>
      <c r="C136" s="279"/>
      <c r="D136" s="80" t="s">
        <v>32</v>
      </c>
      <c r="E136" s="286">
        <v>45807</v>
      </c>
      <c r="F136" s="287"/>
      <c r="G136" s="105" t="s">
        <v>194</v>
      </c>
      <c r="H136" s="80" t="s">
        <v>195</v>
      </c>
      <c r="I136" s="75">
        <v>399.9</v>
      </c>
      <c r="J136" s="76">
        <f t="shared" si="31"/>
        <v>399.9</v>
      </c>
      <c r="K136" s="77" t="str">
        <f t="shared" si="29"/>
        <v>Sim</v>
      </c>
      <c r="L136" s="77">
        <f t="shared" si="30"/>
        <v>399.9</v>
      </c>
      <c r="M136" s="281"/>
      <c r="N136" s="282"/>
      <c r="P136" s="36"/>
      <c r="R136" s="316"/>
    </row>
    <row r="137" spans="1:18" ht="15.75" customHeight="1">
      <c r="A137" s="278"/>
      <c r="B137" s="278"/>
      <c r="C137" s="279"/>
      <c r="D137" s="80" t="s">
        <v>32</v>
      </c>
      <c r="E137" s="286">
        <v>45807</v>
      </c>
      <c r="F137" s="287"/>
      <c r="G137" s="105" t="s">
        <v>196</v>
      </c>
      <c r="H137" s="80" t="s">
        <v>197</v>
      </c>
      <c r="I137" s="75">
        <v>599</v>
      </c>
      <c r="J137" s="76" t="str">
        <f t="shared" si="31"/>
        <v/>
      </c>
      <c r="K137" s="77" t="str">
        <f t="shared" si="29"/>
        <v>Não</v>
      </c>
      <c r="L137" s="77" t="str">
        <f t="shared" si="30"/>
        <v/>
      </c>
      <c r="M137" s="281"/>
      <c r="N137" s="282"/>
      <c r="P137" s="36"/>
      <c r="R137" s="316"/>
    </row>
    <row r="138" spans="1:18" ht="15.75" customHeight="1">
      <c r="A138" s="278"/>
      <c r="B138" s="278"/>
      <c r="C138" s="279"/>
      <c r="D138" s="80" t="s">
        <v>32</v>
      </c>
      <c r="E138" s="286">
        <v>45807</v>
      </c>
      <c r="F138" s="287"/>
      <c r="G138" s="105" t="s">
        <v>198</v>
      </c>
      <c r="H138" s="80" t="s">
        <v>199</v>
      </c>
      <c r="I138" s="75">
        <v>409.99</v>
      </c>
      <c r="J138" s="76">
        <f t="shared" si="31"/>
        <v>409.99</v>
      </c>
      <c r="K138" s="77" t="str">
        <f t="shared" si="29"/>
        <v>Sim</v>
      </c>
      <c r="L138" s="77">
        <f t="shared" si="30"/>
        <v>409.99</v>
      </c>
      <c r="M138" s="281"/>
      <c r="N138" s="282"/>
      <c r="P138" s="36"/>
      <c r="R138" s="316"/>
    </row>
    <row r="139" spans="1:18" ht="15.75" customHeight="1">
      <c r="A139" s="278"/>
      <c r="B139" s="278"/>
      <c r="C139" s="279"/>
      <c r="D139" s="80" t="s">
        <v>32</v>
      </c>
      <c r="E139" s="286">
        <v>45807</v>
      </c>
      <c r="F139" s="287"/>
      <c r="G139" s="105" t="s">
        <v>51</v>
      </c>
      <c r="H139" s="73" t="s">
        <v>52</v>
      </c>
      <c r="I139" s="75">
        <v>649.99</v>
      </c>
      <c r="J139" s="76" t="str">
        <f t="shared" si="31"/>
        <v/>
      </c>
      <c r="K139" s="77" t="str">
        <f t="shared" si="29"/>
        <v>Não</v>
      </c>
      <c r="L139" s="77" t="str">
        <f t="shared" si="30"/>
        <v/>
      </c>
      <c r="M139" s="281"/>
      <c r="N139" s="282"/>
      <c r="P139" s="36"/>
      <c r="R139" s="316"/>
    </row>
    <row r="140" spans="1:18" ht="15.75" customHeight="1">
      <c r="C140" s="10"/>
      <c r="D140" s="11"/>
      <c r="E140" s="11"/>
      <c r="F140" s="11"/>
      <c r="G140" s="12"/>
      <c r="H140" s="12"/>
      <c r="I140" s="97"/>
      <c r="J140" s="14"/>
      <c r="K140" s="15"/>
      <c r="L140" s="15"/>
      <c r="M140" s="16"/>
      <c r="N140" s="16"/>
      <c r="P140" s="36"/>
    </row>
    <row r="141" spans="1:18" ht="15.75" customHeight="1">
      <c r="A141" s="260" t="s">
        <v>2</v>
      </c>
      <c r="B141" s="261"/>
      <c r="C141" s="261"/>
      <c r="D141" s="261"/>
      <c r="E141" s="262"/>
      <c r="F141" s="260" t="s">
        <v>3</v>
      </c>
      <c r="G141" s="261"/>
      <c r="H141" s="261"/>
      <c r="I141" s="260" t="s">
        <v>4</v>
      </c>
      <c r="J141" s="261"/>
      <c r="K141" s="261"/>
      <c r="L141" s="262"/>
      <c r="M141" s="260" t="s">
        <v>5</v>
      </c>
      <c r="N141" s="262"/>
      <c r="P141" s="36"/>
    </row>
    <row r="142" spans="1:18" ht="15.75" customHeight="1">
      <c r="A142" s="263"/>
      <c r="B142" s="264"/>
      <c r="C142" s="264"/>
      <c r="D142" s="264"/>
      <c r="E142" s="265"/>
      <c r="F142" s="269" t="s">
        <v>200</v>
      </c>
      <c r="G142" s="270"/>
      <c r="H142" s="270"/>
      <c r="I142" s="269" t="s">
        <v>7</v>
      </c>
      <c r="J142" s="270"/>
      <c r="K142" s="270"/>
      <c r="L142" s="273"/>
      <c r="M142" s="271" t="s">
        <v>8</v>
      </c>
      <c r="N142" s="274"/>
      <c r="P142" s="36"/>
    </row>
    <row r="143" spans="1:18" ht="15.75" customHeight="1">
      <c r="A143" s="266"/>
      <c r="B143" s="267"/>
      <c r="C143" s="267"/>
      <c r="D143" s="267"/>
      <c r="E143" s="268"/>
      <c r="F143" s="271"/>
      <c r="G143" s="272"/>
      <c r="H143" s="272"/>
      <c r="I143" s="271"/>
      <c r="J143" s="272"/>
      <c r="K143" s="272"/>
      <c r="L143" s="274"/>
      <c r="M143" s="275" t="s">
        <v>9</v>
      </c>
      <c r="N143" s="276"/>
      <c r="P143" s="36"/>
    </row>
    <row r="144" spans="1:18" ht="22.5">
      <c r="A144" s="4" t="s">
        <v>10</v>
      </c>
      <c r="B144" s="4" t="s">
        <v>11</v>
      </c>
      <c r="C144" s="4" t="s">
        <v>12</v>
      </c>
      <c r="D144" s="5" t="s">
        <v>13</v>
      </c>
      <c r="E144" s="277" t="s">
        <v>14</v>
      </c>
      <c r="F144" s="277"/>
      <c r="G144" s="24" t="s">
        <v>15</v>
      </c>
      <c r="H144" s="24" t="s">
        <v>16</v>
      </c>
      <c r="I144" s="4" t="s">
        <v>17</v>
      </c>
      <c r="J144" s="4" t="s">
        <v>18</v>
      </c>
      <c r="K144" s="4"/>
      <c r="L144" s="4" t="s">
        <v>19</v>
      </c>
      <c r="M144" s="4" t="s">
        <v>20</v>
      </c>
      <c r="N144" s="4" t="s">
        <v>21</v>
      </c>
      <c r="P144" s="36"/>
    </row>
    <row r="145" spans="1:18" ht="15.75" customHeight="1">
      <c r="A145" s="278"/>
      <c r="B145" s="278">
        <v>13</v>
      </c>
      <c r="C145" s="279"/>
      <c r="D145" s="83" t="s">
        <v>201</v>
      </c>
      <c r="E145" s="294" t="s">
        <v>202</v>
      </c>
      <c r="F145" s="295"/>
      <c r="G145" s="82" t="s">
        <v>203</v>
      </c>
      <c r="H145" s="116" t="s">
        <v>204</v>
      </c>
      <c r="I145" s="95">
        <v>8.9</v>
      </c>
      <c r="J145" s="76">
        <f>IF(AND((STDEV(I$145:I$152)/AVERAGE(I$145:I$152))&lt;=0.25,ISNUMBER(I145)),I145,IF(AND(I145&lt;=(AVERAGE(I$145:I$152)+STDEV(I$145:I$152)),I145&gt;=(AVERAGE(I$145:I$152)-STDEV(I$145:I$152)),ISNUMBER(I145)),I145,""))</f>
        <v>8.9</v>
      </c>
      <c r="K145" s="77" t="str">
        <f>IF(I145="","",IF(AND(COUNT(I$145:I$152)=1,ISNUMBER(I145)),"Sim",IF(AND((STDEV(J$145:J$152)/AVERAGE(J$145:J$152))&lt;0.25,ISNUMBER(J145)),"Sim",IF(AND(J145&lt;=(AVERAGE(J$145:J$152)+STDEV(J$145:J$152)),J145&gt;=(AVERAGE(J$145:J$152)-STDEV(J$145:J$152)),ISNUMBER(J145)),"Sim","Não"))))</f>
        <v>Sim</v>
      </c>
      <c r="L145" s="77">
        <f t="shared" ref="L145:L152" si="32">IF(K145="Sim",J145,"")</f>
        <v>8.9</v>
      </c>
      <c r="M145" s="281">
        <f>IF(I145="","",ROUND(IF(COUNT(I145:I152)=1,I145,IF((COUNT(L145:L152)&lt;3),MIN(L145:L152),AVERAGE(L145:L152))),2))</f>
        <v>9.24</v>
      </c>
      <c r="N145" s="282">
        <f>IF(M145="","",C145*M145)</f>
        <v>0</v>
      </c>
      <c r="P145" s="36"/>
      <c r="R145" s="316"/>
    </row>
    <row r="146" spans="1:18" ht="15.75" customHeight="1">
      <c r="A146" s="278"/>
      <c r="B146" s="278"/>
      <c r="C146" s="279"/>
      <c r="D146" s="116" t="s">
        <v>104</v>
      </c>
      <c r="E146" s="294" t="s">
        <v>105</v>
      </c>
      <c r="F146" s="295"/>
      <c r="G146" s="116" t="s">
        <v>176</v>
      </c>
      <c r="H146" s="82" t="s">
        <v>205</v>
      </c>
      <c r="I146" s="95">
        <v>9.8000000000000007</v>
      </c>
      <c r="J146" s="76">
        <f t="shared" ref="J146:J152" si="33">IF(AND((STDEV(I$145:I$152)/AVERAGE(I$145:I$152))&lt;=0.25,ISNUMBER(I146)),I146,IF(AND(I146&lt;=(AVERAGE(I$145:I$152)+STDEV(I$145:I$152)),I146&gt;=(AVERAGE(I$145:I$152)-STDEV(I$145:I$152)),ISNUMBER(I146)),I146,""))</f>
        <v>9.8000000000000007</v>
      </c>
      <c r="K146" s="77" t="str">
        <f>IF(I146="","",IF(AND(COUNT(I$145:I$152)=1,ISNUMBER(I146)),"Sim",IF(AND((STDEV(J$145:J$152)/AVERAGE(J$145:J$152))&lt;0.25,ISNUMBER(J146)),"Sim",IF(AND(J146&lt;=(AVERAGE(J$145:J$152)+STDEV(J$145:J$152)),J146&gt;=(AVERAGE(J$145:J$152)-STDEV(J$145:J$152)),ISNUMBER(J146)),"Sim","Não"))))</f>
        <v>Sim</v>
      </c>
      <c r="L146" s="77">
        <f t="shared" si="32"/>
        <v>9.8000000000000007</v>
      </c>
      <c r="M146" s="281"/>
      <c r="N146" s="282"/>
      <c r="P146" s="36"/>
      <c r="R146" s="316"/>
    </row>
    <row r="147" spans="1:18" ht="15.75" customHeight="1">
      <c r="A147" s="278"/>
      <c r="B147" s="278"/>
      <c r="C147" s="279"/>
      <c r="D147" s="80" t="s">
        <v>206</v>
      </c>
      <c r="E147" s="285" t="s">
        <v>207</v>
      </c>
      <c r="F147" s="285"/>
      <c r="G147" s="116" t="s">
        <v>208</v>
      </c>
      <c r="H147" s="117" t="s">
        <v>209</v>
      </c>
      <c r="I147" s="95">
        <v>8</v>
      </c>
      <c r="J147" s="76">
        <f t="shared" si="33"/>
        <v>8</v>
      </c>
      <c r="K147" s="77" t="str">
        <f t="shared" ref="K147:K152" si="34">IF(I147="","",IF(AND(COUNT(I$145:I$152)=1,ISNUMBER(I147)),"Sim",IF(AND((STDEV(J$145:J$152)/AVERAGE(J$145:J$152))&lt;0.25,ISNUMBER(J147)),"Sim",IF(AND(J147&lt;=(AVERAGE(J$145:J$152)+STDEV(J$145:J$152)),J147&gt;=(AVERAGE(J$145:J$152)-STDEV(J$145:J$152)),ISNUMBER(J147)),"Sim","Não"))))</f>
        <v>Sim</v>
      </c>
      <c r="L147" s="77">
        <f t="shared" si="32"/>
        <v>8</v>
      </c>
      <c r="M147" s="281"/>
      <c r="N147" s="282"/>
      <c r="P147" s="36"/>
      <c r="R147" s="316"/>
    </row>
    <row r="148" spans="1:18" ht="15.75" customHeight="1">
      <c r="A148" s="278"/>
      <c r="B148" s="278"/>
      <c r="C148" s="279"/>
      <c r="D148" s="80" t="s">
        <v>32</v>
      </c>
      <c r="E148" s="286">
        <v>45807</v>
      </c>
      <c r="F148" s="287"/>
      <c r="G148" s="105" t="s">
        <v>210</v>
      </c>
      <c r="H148" s="82" t="s">
        <v>211</v>
      </c>
      <c r="I148" s="95">
        <v>9</v>
      </c>
      <c r="J148" s="76">
        <f t="shared" si="33"/>
        <v>9</v>
      </c>
      <c r="K148" s="77" t="str">
        <f t="shared" si="34"/>
        <v>Sim</v>
      </c>
      <c r="L148" s="77">
        <f t="shared" si="32"/>
        <v>9</v>
      </c>
      <c r="M148" s="281"/>
      <c r="N148" s="282"/>
      <c r="P148" s="36"/>
      <c r="R148" s="316"/>
    </row>
    <row r="149" spans="1:18" ht="15.75" customHeight="1">
      <c r="A149" s="278"/>
      <c r="B149" s="278"/>
      <c r="C149" s="279"/>
      <c r="D149" s="80" t="s">
        <v>32</v>
      </c>
      <c r="E149" s="286">
        <v>45807</v>
      </c>
      <c r="F149" s="287"/>
      <c r="G149" s="105" t="s">
        <v>212</v>
      </c>
      <c r="H149" s="118" t="s">
        <v>213</v>
      </c>
      <c r="I149" s="95">
        <v>19.899999999999999</v>
      </c>
      <c r="J149" s="76" t="str">
        <f t="shared" si="33"/>
        <v/>
      </c>
      <c r="K149" s="77" t="str">
        <f t="shared" si="34"/>
        <v>Não</v>
      </c>
      <c r="L149" s="77" t="str">
        <f t="shared" si="32"/>
        <v/>
      </c>
      <c r="M149" s="281"/>
      <c r="N149" s="282"/>
      <c r="P149" s="36"/>
      <c r="R149" s="316"/>
    </row>
    <row r="150" spans="1:18" ht="15.75" customHeight="1">
      <c r="A150" s="278"/>
      <c r="B150" s="278"/>
      <c r="C150" s="279"/>
      <c r="D150" s="80" t="s">
        <v>32</v>
      </c>
      <c r="E150" s="286">
        <v>45807</v>
      </c>
      <c r="F150" s="287"/>
      <c r="G150" s="105" t="s">
        <v>214</v>
      </c>
      <c r="H150" s="118" t="s">
        <v>215</v>
      </c>
      <c r="I150" s="95">
        <v>16.899999999999999</v>
      </c>
      <c r="J150" s="76">
        <f t="shared" si="33"/>
        <v>16.899999999999999</v>
      </c>
      <c r="K150" s="77" t="str">
        <f t="shared" si="34"/>
        <v>Não</v>
      </c>
      <c r="L150" s="77" t="str">
        <f t="shared" si="32"/>
        <v/>
      </c>
      <c r="M150" s="281"/>
      <c r="N150" s="282"/>
      <c r="P150" s="36"/>
      <c r="R150" s="316"/>
    </row>
    <row r="151" spans="1:18" ht="15.75" customHeight="1">
      <c r="A151" s="278"/>
      <c r="B151" s="278"/>
      <c r="C151" s="279"/>
      <c r="D151" s="80" t="s">
        <v>32</v>
      </c>
      <c r="E151" s="286">
        <v>45807</v>
      </c>
      <c r="F151" s="287"/>
      <c r="G151" s="105" t="s">
        <v>216</v>
      </c>
      <c r="H151" s="80" t="s">
        <v>217</v>
      </c>
      <c r="I151" s="95">
        <v>19.989999999999998</v>
      </c>
      <c r="J151" s="76" t="str">
        <f t="shared" si="33"/>
        <v/>
      </c>
      <c r="K151" s="77" t="str">
        <f t="shared" si="34"/>
        <v>Não</v>
      </c>
      <c r="L151" s="77" t="str">
        <f t="shared" si="32"/>
        <v/>
      </c>
      <c r="M151" s="281"/>
      <c r="N151" s="282"/>
      <c r="P151" s="36"/>
      <c r="R151" s="316"/>
    </row>
    <row r="152" spans="1:18" ht="15.75" customHeight="1">
      <c r="A152" s="278"/>
      <c r="B152" s="278"/>
      <c r="C152" s="279"/>
      <c r="D152" s="80" t="s">
        <v>32</v>
      </c>
      <c r="E152" s="286">
        <v>45807</v>
      </c>
      <c r="F152" s="287"/>
      <c r="G152" s="100" t="s">
        <v>218</v>
      </c>
      <c r="H152" s="80" t="s">
        <v>219</v>
      </c>
      <c r="I152" s="95">
        <v>10.5</v>
      </c>
      <c r="J152" s="76">
        <f t="shared" si="33"/>
        <v>10.5</v>
      </c>
      <c r="K152" s="77" t="str">
        <f t="shared" si="34"/>
        <v>Sim</v>
      </c>
      <c r="L152" s="77">
        <f t="shared" si="32"/>
        <v>10.5</v>
      </c>
      <c r="M152" s="281"/>
      <c r="N152" s="282"/>
      <c r="P152" s="36"/>
      <c r="R152" s="316"/>
    </row>
    <row r="153" spans="1:18" ht="15.75" customHeight="1">
      <c r="C153" s="10"/>
      <c r="D153" s="11"/>
      <c r="E153" s="11"/>
      <c r="F153" s="11"/>
      <c r="G153" s="12"/>
      <c r="H153" s="12"/>
      <c r="I153" s="97"/>
      <c r="J153" s="14"/>
      <c r="K153" s="15"/>
      <c r="L153" s="15"/>
      <c r="M153" s="16"/>
      <c r="N153" s="16"/>
      <c r="P153" s="36"/>
      <c r="R153" s="316"/>
    </row>
    <row r="154" spans="1:18" ht="15.75" customHeight="1">
      <c r="A154" s="260" t="s">
        <v>2</v>
      </c>
      <c r="B154" s="261"/>
      <c r="C154" s="261"/>
      <c r="D154" s="261"/>
      <c r="E154" s="262"/>
      <c r="F154" s="260" t="s">
        <v>3</v>
      </c>
      <c r="G154" s="261"/>
      <c r="H154" s="261"/>
      <c r="I154" s="260" t="s">
        <v>4</v>
      </c>
      <c r="J154" s="261"/>
      <c r="K154" s="261"/>
      <c r="L154" s="262"/>
      <c r="M154" s="260" t="s">
        <v>5</v>
      </c>
      <c r="N154" s="262"/>
      <c r="P154" s="36"/>
    </row>
    <row r="155" spans="1:18" ht="15.75" customHeight="1">
      <c r="A155" s="263"/>
      <c r="B155" s="264"/>
      <c r="C155" s="264"/>
      <c r="D155" s="264"/>
      <c r="E155" s="265"/>
      <c r="F155" s="269" t="s">
        <v>220</v>
      </c>
      <c r="G155" s="270"/>
      <c r="H155" s="270"/>
      <c r="I155" s="269" t="s">
        <v>7</v>
      </c>
      <c r="J155" s="270"/>
      <c r="K155" s="270"/>
      <c r="L155" s="273"/>
      <c r="M155" s="271" t="s">
        <v>8</v>
      </c>
      <c r="N155" s="274"/>
      <c r="P155" s="36"/>
    </row>
    <row r="156" spans="1:18" ht="15.75" customHeight="1">
      <c r="A156" s="266"/>
      <c r="B156" s="267"/>
      <c r="C156" s="267"/>
      <c r="D156" s="267"/>
      <c r="E156" s="268"/>
      <c r="F156" s="271"/>
      <c r="G156" s="272"/>
      <c r="H156" s="272"/>
      <c r="I156" s="271"/>
      <c r="J156" s="272"/>
      <c r="K156" s="272"/>
      <c r="L156" s="274"/>
      <c r="M156" s="275" t="s">
        <v>9</v>
      </c>
      <c r="N156" s="276"/>
      <c r="P156" s="36"/>
    </row>
    <row r="157" spans="1:18" ht="22.5">
      <c r="A157" s="4" t="s">
        <v>10</v>
      </c>
      <c r="B157" s="4" t="s">
        <v>11</v>
      </c>
      <c r="C157" s="4" t="s">
        <v>12</v>
      </c>
      <c r="D157" s="5" t="s">
        <v>13</v>
      </c>
      <c r="E157" s="277" t="s">
        <v>14</v>
      </c>
      <c r="F157" s="277"/>
      <c r="G157" s="24" t="s">
        <v>15</v>
      </c>
      <c r="H157" s="24" t="s">
        <v>16</v>
      </c>
      <c r="I157" s="4" t="s">
        <v>17</v>
      </c>
      <c r="J157" s="4" t="s">
        <v>18</v>
      </c>
      <c r="K157" s="4"/>
      <c r="L157" s="4" t="s">
        <v>19</v>
      </c>
      <c r="M157" s="4" t="s">
        <v>20</v>
      </c>
      <c r="N157" s="4" t="s">
        <v>21</v>
      </c>
      <c r="P157" s="36"/>
    </row>
    <row r="158" spans="1:18" ht="15.75" customHeight="1">
      <c r="A158" s="279"/>
      <c r="B158" s="279">
        <v>14</v>
      </c>
      <c r="C158" s="279"/>
      <c r="D158" s="78" t="s">
        <v>221</v>
      </c>
      <c r="E158" s="299" t="s">
        <v>222</v>
      </c>
      <c r="F158" s="300"/>
      <c r="G158" s="83" t="s">
        <v>223</v>
      </c>
      <c r="H158" s="83" t="s">
        <v>224</v>
      </c>
      <c r="I158" s="75">
        <v>23</v>
      </c>
      <c r="J158" s="76">
        <f t="shared" ref="J158:J164" si="35">IF(AND((STDEV(I$158:I$164)/AVERAGE(I$158:I$164))&lt;=0.25,ISNUMBER(I158)),I158,IF(AND(I158&lt;=(AVERAGE(I$158:I$164)+STDEV(I$158:I$164)),I158&gt;=(AVERAGE(I$158:I$164)-STDEV(I$158:I$164)),ISNUMBER(I158)),I158,""))</f>
        <v>23</v>
      </c>
      <c r="K158" s="77" t="str">
        <f t="shared" ref="K158:K164" si="36">IF(I158="","",IF(AND(COUNT(I$158:I$164)=1,ISNUMBER(I158)),"Sim",IF(AND((STDEV(J$158:J$164)/AVERAGE(J$158:J$164))&lt;0.25,ISNUMBER(J158)),"Sim",IF(AND(J158&lt;=(AVERAGE(J$158:J$164)+STDEV(J$158:J$164)),J158&gt;=(AVERAGE(J$158:J$164)-STDEV(J$158:J$164)),ISNUMBER(J158)),"Sim","Não"))))</f>
        <v>Sim</v>
      </c>
      <c r="L158" s="77">
        <f t="shared" ref="L158:L164" si="37">IF(K158="Sim",J158,"")</f>
        <v>23</v>
      </c>
      <c r="M158" s="281">
        <f>IF(I158="","",ROUND(IF(COUNT(I158:I164)=1,I158,IF((COUNT(L158:L164)&lt;3),MIN(L158:L164),AVERAGE(L158:L164))),2))</f>
        <v>32.979999999999997</v>
      </c>
      <c r="N158" s="282">
        <f>IF(M158="","",C158*M158)</f>
        <v>0</v>
      </c>
      <c r="P158" s="36"/>
      <c r="R158" s="318"/>
    </row>
    <row r="159" spans="1:18" ht="15.75" customHeight="1">
      <c r="A159" s="279"/>
      <c r="B159" s="279"/>
      <c r="C159" s="279"/>
      <c r="D159" s="82" t="s">
        <v>225</v>
      </c>
      <c r="E159" s="299" t="s">
        <v>226</v>
      </c>
      <c r="F159" s="300"/>
      <c r="G159" s="83" t="s">
        <v>227</v>
      </c>
      <c r="H159" s="82" t="s">
        <v>228</v>
      </c>
      <c r="I159" s="75">
        <v>25</v>
      </c>
      <c r="J159" s="76">
        <f>IF(AND((STDEV(I$158:I$164)/AVERAGE(I$158:I$164))&lt;=0.25,ISNUMBER(I159)),I159,IF(AND(I159&lt;=(AVERAGE(I$158:I$164)+STDEV(I$158:I$164)),I159&gt;=(AVERAGE(I$158:I$164)-STDEV(I$158:I$164)),ISNUMBER(I159)),I159,""))</f>
        <v>25</v>
      </c>
      <c r="K159" s="77" t="str">
        <f t="shared" si="36"/>
        <v>Sim</v>
      </c>
      <c r="L159" s="77">
        <f t="shared" si="37"/>
        <v>25</v>
      </c>
      <c r="M159" s="281"/>
      <c r="N159" s="282"/>
      <c r="P159" s="36"/>
      <c r="R159" s="318"/>
    </row>
    <row r="160" spans="1:18" ht="15.75" customHeight="1">
      <c r="A160" s="279"/>
      <c r="B160" s="279"/>
      <c r="C160" s="279"/>
      <c r="D160" s="80" t="s">
        <v>229</v>
      </c>
      <c r="E160" s="285">
        <v>45677</v>
      </c>
      <c r="F160" s="285"/>
      <c r="G160" s="83" t="s">
        <v>230</v>
      </c>
      <c r="H160" s="82" t="s">
        <v>231</v>
      </c>
      <c r="I160" s="75">
        <v>32</v>
      </c>
      <c r="J160" s="76">
        <f t="shared" si="35"/>
        <v>32</v>
      </c>
      <c r="K160" s="77" t="str">
        <f>IF(I160="","",IF(AND(COUNT(I$158:I$164)=1,ISNUMBER(I160)),"Sim",IF(AND((STDEV(J$158:J$164)/AVERAGE(J$158:J$164))&lt;0.25,ISNUMBER(J160)),"Sim",IF(AND(J160&lt;=(AVERAGE(J$158:J$164)+STDEV(J$158:J$164)),J160&gt;=(AVERAGE(J$158:J$164)-STDEV(J$158:J$164)),ISNUMBER(J160)),"Sim","Não"))))</f>
        <v>Sim</v>
      </c>
      <c r="L160" s="77">
        <f t="shared" si="37"/>
        <v>32</v>
      </c>
      <c r="M160" s="281"/>
      <c r="N160" s="282"/>
      <c r="P160" s="36"/>
      <c r="R160" s="318"/>
    </row>
    <row r="161" spans="1:18" ht="15.75" customHeight="1">
      <c r="A161" s="279"/>
      <c r="B161" s="279"/>
      <c r="C161" s="279"/>
      <c r="D161" s="80" t="s">
        <v>32</v>
      </c>
      <c r="E161" s="286">
        <v>45807</v>
      </c>
      <c r="F161" s="287"/>
      <c r="G161" s="111" t="s">
        <v>154</v>
      </c>
      <c r="H161" s="82" t="s">
        <v>232</v>
      </c>
      <c r="I161" s="75">
        <v>45</v>
      </c>
      <c r="J161" s="76">
        <f t="shared" si="35"/>
        <v>45</v>
      </c>
      <c r="K161" s="77" t="str">
        <f t="shared" si="36"/>
        <v>Sim</v>
      </c>
      <c r="L161" s="77">
        <f t="shared" si="37"/>
        <v>45</v>
      </c>
      <c r="M161" s="281"/>
      <c r="N161" s="282"/>
      <c r="P161" s="36"/>
      <c r="R161" s="318"/>
    </row>
    <row r="162" spans="1:18" ht="15.75" customHeight="1">
      <c r="A162" s="279"/>
      <c r="B162" s="279"/>
      <c r="C162" s="279"/>
      <c r="D162" s="80" t="s">
        <v>32</v>
      </c>
      <c r="E162" s="286">
        <v>45807</v>
      </c>
      <c r="F162" s="287"/>
      <c r="G162" s="105" t="s">
        <v>233</v>
      </c>
      <c r="H162" s="82" t="s">
        <v>234</v>
      </c>
      <c r="I162" s="75">
        <v>120</v>
      </c>
      <c r="J162" s="76" t="str">
        <f t="shared" si="35"/>
        <v/>
      </c>
      <c r="K162" s="77" t="str">
        <f t="shared" si="36"/>
        <v>Não</v>
      </c>
      <c r="L162" s="77" t="str">
        <f t="shared" si="37"/>
        <v/>
      </c>
      <c r="M162" s="281"/>
      <c r="N162" s="282"/>
      <c r="P162" s="36"/>
      <c r="R162" s="318"/>
    </row>
    <row r="163" spans="1:18" ht="15.75" customHeight="1">
      <c r="A163" s="279"/>
      <c r="B163" s="279"/>
      <c r="C163" s="279"/>
      <c r="D163" s="80" t="s">
        <v>32</v>
      </c>
      <c r="E163" s="286">
        <v>45807</v>
      </c>
      <c r="F163" s="287"/>
      <c r="G163" s="105" t="s">
        <v>235</v>
      </c>
      <c r="H163" s="80" t="s">
        <v>236</v>
      </c>
      <c r="I163" s="75">
        <v>39.9</v>
      </c>
      <c r="J163" s="76">
        <f t="shared" si="35"/>
        <v>39.9</v>
      </c>
      <c r="K163" s="77" t="str">
        <f t="shared" si="36"/>
        <v>Sim</v>
      </c>
      <c r="L163" s="77">
        <f t="shared" si="37"/>
        <v>39.9</v>
      </c>
      <c r="M163" s="281"/>
      <c r="N163" s="282"/>
      <c r="P163" s="36"/>
      <c r="R163" s="318"/>
    </row>
    <row r="164" spans="1:18" ht="15.75" customHeight="1">
      <c r="A164" s="279"/>
      <c r="B164" s="279"/>
      <c r="C164" s="279"/>
      <c r="D164" s="80" t="s">
        <v>32</v>
      </c>
      <c r="E164" s="286">
        <v>45807</v>
      </c>
      <c r="F164" s="287"/>
      <c r="G164" s="170" t="s">
        <v>237</v>
      </c>
      <c r="H164" s="82" t="s">
        <v>238</v>
      </c>
      <c r="I164" s="75">
        <v>68.900000000000006</v>
      </c>
      <c r="J164" s="76">
        <f t="shared" si="35"/>
        <v>68.900000000000006</v>
      </c>
      <c r="K164" s="77" t="str">
        <f t="shared" si="36"/>
        <v>Não</v>
      </c>
      <c r="L164" s="77" t="str">
        <f t="shared" si="37"/>
        <v/>
      </c>
      <c r="M164" s="281"/>
      <c r="N164" s="282"/>
      <c r="P164" s="36"/>
      <c r="R164" s="318"/>
    </row>
    <row r="165" spans="1:18" ht="15.75" customHeight="1">
      <c r="C165" s="10"/>
      <c r="D165" s="11"/>
      <c r="E165" s="11"/>
      <c r="F165" s="11"/>
      <c r="G165" s="12"/>
      <c r="H165" s="12"/>
      <c r="I165" s="97"/>
      <c r="J165" s="14"/>
      <c r="K165" s="15"/>
      <c r="L165" s="15"/>
      <c r="M165" s="16"/>
      <c r="N165" s="16"/>
      <c r="P165" s="36"/>
    </row>
    <row r="166" spans="1:18">
      <c r="A166" s="260" t="s">
        <v>2</v>
      </c>
      <c r="B166" s="261"/>
      <c r="C166" s="261"/>
      <c r="D166" s="261"/>
      <c r="E166" s="262"/>
      <c r="F166" s="260" t="s">
        <v>3</v>
      </c>
      <c r="G166" s="261"/>
      <c r="H166" s="261"/>
      <c r="I166" s="260" t="s">
        <v>4</v>
      </c>
      <c r="J166" s="261"/>
      <c r="K166" s="261"/>
      <c r="L166" s="262"/>
      <c r="M166" s="260" t="s">
        <v>5</v>
      </c>
      <c r="N166" s="262"/>
      <c r="P166" s="36"/>
    </row>
    <row r="167" spans="1:18" ht="15" customHeight="1">
      <c r="A167" s="263"/>
      <c r="B167" s="264"/>
      <c r="C167" s="264"/>
      <c r="D167" s="264"/>
      <c r="E167" s="265"/>
      <c r="F167" s="288" t="s">
        <v>239</v>
      </c>
      <c r="G167" s="289"/>
      <c r="H167" s="289"/>
      <c r="I167" s="269" t="s">
        <v>7</v>
      </c>
      <c r="J167" s="270"/>
      <c r="K167" s="270"/>
      <c r="L167" s="273"/>
      <c r="M167" s="271" t="s">
        <v>8</v>
      </c>
      <c r="N167" s="274"/>
      <c r="P167" s="36"/>
    </row>
    <row r="168" spans="1:18" ht="15" customHeight="1">
      <c r="A168" s="266"/>
      <c r="B168" s="267"/>
      <c r="C168" s="267"/>
      <c r="D168" s="267"/>
      <c r="E168" s="268"/>
      <c r="F168" s="290"/>
      <c r="G168" s="291"/>
      <c r="H168" s="291"/>
      <c r="I168" s="271"/>
      <c r="J168" s="272"/>
      <c r="K168" s="272"/>
      <c r="L168" s="274"/>
      <c r="M168" s="275" t="s">
        <v>9</v>
      </c>
      <c r="N168" s="276"/>
      <c r="P168" s="36"/>
    </row>
    <row r="169" spans="1:18" ht="24" customHeight="1">
      <c r="A169" s="4" t="s">
        <v>10</v>
      </c>
      <c r="B169" s="4" t="s">
        <v>11</v>
      </c>
      <c r="C169" s="4" t="s">
        <v>12</v>
      </c>
      <c r="D169" s="5" t="s">
        <v>13</v>
      </c>
      <c r="E169" s="277" t="s">
        <v>14</v>
      </c>
      <c r="F169" s="277"/>
      <c r="G169" s="24" t="s">
        <v>15</v>
      </c>
      <c r="H169" s="24" t="s">
        <v>16</v>
      </c>
      <c r="I169" s="4" t="s">
        <v>17</v>
      </c>
      <c r="J169" s="4" t="s">
        <v>18</v>
      </c>
      <c r="K169" s="4"/>
      <c r="L169" s="4" t="s">
        <v>19</v>
      </c>
      <c r="M169" s="4" t="s">
        <v>20</v>
      </c>
      <c r="N169" s="4" t="s">
        <v>21</v>
      </c>
    </row>
    <row r="170" spans="1:18" ht="15" customHeight="1">
      <c r="A170" s="278"/>
      <c r="B170" s="278">
        <v>15</v>
      </c>
      <c r="C170" s="279"/>
      <c r="D170" s="83" t="s">
        <v>240</v>
      </c>
      <c r="E170" s="298">
        <v>45687</v>
      </c>
      <c r="F170" s="295"/>
      <c r="G170" s="119" t="s">
        <v>241</v>
      </c>
      <c r="H170" s="83" t="s">
        <v>242</v>
      </c>
      <c r="I170" s="75">
        <v>148</v>
      </c>
      <c r="J170" s="76" t="str">
        <f>IF(AND((STDEV(I$170:I$175)/AVERAGE(I$170:I$175))&lt;=0.25,ISNUMBER(I170)),I170,IF(AND(I170&lt;=(AVERAGE(I$170:I$175)+STDEV(I$170:I$175)),I170&gt;=(AVERAGE(I$170:I$175)-STDEV(I$170:I$175)),ISNUMBER(I170)),I170,""))</f>
        <v/>
      </c>
      <c r="K170" s="77" t="str">
        <f t="shared" ref="K170" si="38">IF(I170="","",IF(AND(COUNT(I$170:I$175)=1,ISNUMBER(I170)),"Sim",IF(AND((STDEV(J$170:J$175)/AVERAGE(J$170:J$175))&lt;0.25,ISNUMBER(J170)),"Sim",IF(AND(J170&lt;=(AVERAGE(J$170:J$175)+STDEV(J$170:J$175)),J170&gt;=(AVERAGE(J$170:J$175)-STDEV(J$170:J$175)),ISNUMBER(J170)),"Sim","Não"))))</f>
        <v>Não</v>
      </c>
      <c r="L170" s="77" t="str">
        <f t="shared" ref="L170:L175" si="39">IF(K170="Sim",J170,"")</f>
        <v/>
      </c>
      <c r="M170" s="281">
        <f>IF(I170="","",ROUND(IF(COUNT(I170:I175)=1,I170,IF((COUNT(L170:L175)&lt;3),MIN(L170:L175),AVERAGE(L170:L175))),2))</f>
        <v>240.83</v>
      </c>
      <c r="N170" s="282">
        <f>IF(M170="","",C170*M170)</f>
        <v>0</v>
      </c>
      <c r="P170" s="317"/>
      <c r="R170" s="316"/>
    </row>
    <row r="171" spans="1:18" ht="15" customHeight="1">
      <c r="A171" s="278"/>
      <c r="B171" s="278"/>
      <c r="C171" s="279"/>
      <c r="D171" s="78" t="s">
        <v>93</v>
      </c>
      <c r="E171" s="294" t="s">
        <v>94</v>
      </c>
      <c r="F171" s="295"/>
      <c r="G171" s="83" t="s">
        <v>243</v>
      </c>
      <c r="H171" s="83" t="s">
        <v>244</v>
      </c>
      <c r="I171" s="75">
        <v>193.5</v>
      </c>
      <c r="J171" s="76">
        <f t="shared" ref="J171:J175" si="40">IF(AND((STDEV(I$170:I$175)/AVERAGE(I$170:I$175))&lt;=0.25,ISNUMBER(I171)),I171,IF(AND(I171&lt;=(AVERAGE(I$170:I$175)+STDEV(I$170:I$175)),I171&gt;=(AVERAGE(I$170:I$175)-STDEV(I$170:I$175)),ISNUMBER(I171)),I171,""))</f>
        <v>193.5</v>
      </c>
      <c r="K171" s="77" t="str">
        <f>IF(I171="","",IF(AND(COUNT(I$170:I$175)=1,ISNUMBER(I171)),"Sim",IF(AND((STDEV(J$170:J$175)/AVERAGE(J$170:J$175))&lt;0.25,ISNUMBER(J171)),"Sim",IF(AND(J171&lt;=(AVERAGE(J$170:J$175)+STDEV(J$170:J$175)),J171&gt;=(AVERAGE(J$170:J$175)-STDEV(J$170:J$175)),ISNUMBER(J171)),"Sim","Não"))))</f>
        <v>Sim</v>
      </c>
      <c r="L171" s="77">
        <f t="shared" si="39"/>
        <v>193.5</v>
      </c>
      <c r="M171" s="281"/>
      <c r="N171" s="282"/>
      <c r="P171" s="317"/>
      <c r="R171" s="316"/>
    </row>
    <row r="172" spans="1:18" ht="15" customHeight="1">
      <c r="A172" s="278"/>
      <c r="B172" s="278"/>
      <c r="C172" s="279"/>
      <c r="D172" s="80" t="s">
        <v>126</v>
      </c>
      <c r="E172" s="296">
        <v>45660</v>
      </c>
      <c r="F172" s="297"/>
      <c r="G172" s="83" t="s">
        <v>128</v>
      </c>
      <c r="H172" s="82" t="s">
        <v>245</v>
      </c>
      <c r="I172" s="75">
        <v>200</v>
      </c>
      <c r="J172" s="76">
        <f t="shared" si="40"/>
        <v>200</v>
      </c>
      <c r="K172" s="77" t="str">
        <f>IF(I172="","",IF(AND(COUNT(I$170:I$175)=1,ISNUMBER(I172)),"Sim",IF(AND((STDEV(J$170:J$175)/AVERAGE(J$170:J$175))&lt;0.25,ISNUMBER(J172)),"Sim",IF(AND(J172&lt;=(AVERAGE(J$170:J$175)+STDEV(J$170:J$175)),J172&gt;=(AVERAGE(J$170:J$175)-STDEV(J$170:J$175)),ISNUMBER(J172)),"Sim","Não"))))</f>
        <v>Sim</v>
      </c>
      <c r="L172" s="77">
        <f t="shared" si="39"/>
        <v>200</v>
      </c>
      <c r="M172" s="281"/>
      <c r="N172" s="282"/>
      <c r="P172" s="317"/>
      <c r="R172" s="316"/>
    </row>
    <row r="173" spans="1:18" ht="15" customHeight="1">
      <c r="A173" s="278"/>
      <c r="B173" s="278"/>
      <c r="C173" s="279"/>
      <c r="D173" s="80" t="s">
        <v>32</v>
      </c>
      <c r="E173" s="286">
        <v>45807</v>
      </c>
      <c r="F173" s="287"/>
      <c r="G173" s="105" t="s">
        <v>246</v>
      </c>
      <c r="H173" s="120" t="s">
        <v>247</v>
      </c>
      <c r="I173" s="75">
        <v>399</v>
      </c>
      <c r="J173" s="76">
        <f t="shared" si="40"/>
        <v>399</v>
      </c>
      <c r="K173" s="77" t="str">
        <f>IF(I173="","",IF(AND(COUNT(I$170:I$175)=1,ISNUMBER(I173)),"Sim",IF(AND((STDEV(J$170:J$175)/AVERAGE(J$170:J$175))&lt;0.25,ISNUMBER(J173)),"Sim",IF(AND(J173&lt;=(AVERAGE(J$170:J$175)+STDEV(J$170:J$175)),J173&gt;=(AVERAGE(J$170:J$175)-STDEV(J$170:J$175)),ISNUMBER(J173)),"Sim","Não"))))</f>
        <v>Não</v>
      </c>
      <c r="L173" s="77" t="str">
        <f t="shared" si="39"/>
        <v/>
      </c>
      <c r="M173" s="281"/>
      <c r="N173" s="282"/>
      <c r="P173" s="317"/>
      <c r="R173" s="316"/>
    </row>
    <row r="174" spans="1:18" ht="15" customHeight="1">
      <c r="A174" s="278"/>
      <c r="B174" s="278"/>
      <c r="C174" s="279"/>
      <c r="D174" s="80" t="s">
        <v>32</v>
      </c>
      <c r="E174" s="286">
        <v>45807</v>
      </c>
      <c r="F174" s="287"/>
      <c r="G174" s="170" t="s">
        <v>248</v>
      </c>
      <c r="H174" s="101" t="s">
        <v>249</v>
      </c>
      <c r="I174" s="75">
        <v>559.99</v>
      </c>
      <c r="J174" s="76" t="str">
        <f t="shared" si="40"/>
        <v/>
      </c>
      <c r="K174" s="77" t="str">
        <f>IF(I174="","",IF(AND(COUNT(I$170:I$175)=1,ISNUMBER(I174)),"Sim",IF(AND((STDEV(J$170:J$175)/AVERAGE(J$170:J$175))&lt;0.25,ISNUMBER(J174)),"Sim",IF(AND(J174&lt;=(AVERAGE(J$170:J$175)+STDEV(J$170:J$175)),J174&gt;=(AVERAGE(J$170:J$175)-STDEV(J$170:J$175)),ISNUMBER(J174)),"Sim","Não"))))</f>
        <v>Não</v>
      </c>
      <c r="L174" s="77" t="str">
        <f t="shared" si="39"/>
        <v/>
      </c>
      <c r="M174" s="281"/>
      <c r="N174" s="282"/>
      <c r="P174" s="317"/>
      <c r="R174" s="316"/>
    </row>
    <row r="175" spans="1:18">
      <c r="A175" s="278"/>
      <c r="B175" s="278"/>
      <c r="C175" s="279"/>
      <c r="D175" s="80" t="s">
        <v>32</v>
      </c>
      <c r="E175" s="286">
        <v>45807</v>
      </c>
      <c r="F175" s="287"/>
      <c r="G175" s="170" t="s">
        <v>181</v>
      </c>
      <c r="H175" s="73" t="s">
        <v>182</v>
      </c>
      <c r="I175" s="75">
        <v>329</v>
      </c>
      <c r="J175" s="76">
        <f t="shared" si="40"/>
        <v>329</v>
      </c>
      <c r="K175" s="77" t="str">
        <f>IF(I175="","",IF(AND(COUNT(I$170:I$175)=1,ISNUMBER(I175)),"Sim",IF(AND((STDEV(J$170:J$175)/AVERAGE(J$170:J$175))&lt;0.25,ISNUMBER(J175)),"Sim",IF(AND(J175&lt;=(AVERAGE(J$170:J$175)+STDEV(J$170:J$175)),J175&gt;=(AVERAGE(J$170:J$175)-STDEV(J$170:J$175)),ISNUMBER(J175)),"Sim","Não"))))</f>
        <v>Sim</v>
      </c>
      <c r="L175" s="77">
        <f t="shared" si="39"/>
        <v>329</v>
      </c>
      <c r="M175" s="281"/>
      <c r="N175" s="282"/>
      <c r="P175" s="317"/>
      <c r="R175" s="316"/>
    </row>
    <row r="176" spans="1:18">
      <c r="C176" s="10"/>
      <c r="D176" s="11"/>
      <c r="E176" s="11"/>
      <c r="F176" s="11"/>
      <c r="G176" s="19"/>
      <c r="H176" s="20"/>
      <c r="I176" s="99"/>
      <c r="J176" s="14"/>
      <c r="K176" s="15"/>
      <c r="L176" s="15"/>
      <c r="M176" s="16"/>
      <c r="N176" s="16"/>
      <c r="P176" s="36"/>
      <c r="R176" s="2"/>
    </row>
  </sheetData>
  <mergeCells count="344">
    <mergeCell ref="I48:L48"/>
    <mergeCell ref="M48:N48"/>
    <mergeCell ref="A49:E50"/>
    <mergeCell ref="F49:H50"/>
    <mergeCell ref="I49:L50"/>
    <mergeCell ref="M49:N49"/>
    <mergeCell ref="M50:N50"/>
    <mergeCell ref="E51:F51"/>
    <mergeCell ref="A52:A57"/>
    <mergeCell ref="B52:B57"/>
    <mergeCell ref="C52:C57"/>
    <mergeCell ref="E52:F52"/>
    <mergeCell ref="M52:M57"/>
    <mergeCell ref="N52:N57"/>
    <mergeCell ref="E53:F53"/>
    <mergeCell ref="E54:F54"/>
    <mergeCell ref="E55:F55"/>
    <mergeCell ref="E56:F56"/>
    <mergeCell ref="E57:F57"/>
    <mergeCell ref="E102:F102"/>
    <mergeCell ref="A36:E36"/>
    <mergeCell ref="F36:H36"/>
    <mergeCell ref="I36:L36"/>
    <mergeCell ref="M36:N36"/>
    <mergeCell ref="A37:E38"/>
    <mergeCell ref="F37:H38"/>
    <mergeCell ref="I37:L38"/>
    <mergeCell ref="M37:N37"/>
    <mergeCell ref="M38:N38"/>
    <mergeCell ref="E39:F39"/>
    <mergeCell ref="A40:A45"/>
    <mergeCell ref="B40:B45"/>
    <mergeCell ref="C40:C45"/>
    <mergeCell ref="E40:F40"/>
    <mergeCell ref="M40:M45"/>
    <mergeCell ref="N40:N45"/>
    <mergeCell ref="E41:F41"/>
    <mergeCell ref="E42:F42"/>
    <mergeCell ref="E43:F43"/>
    <mergeCell ref="E44:F44"/>
    <mergeCell ref="E45:F45"/>
    <mergeCell ref="A48:E48"/>
    <mergeCell ref="F48:H48"/>
    <mergeCell ref="R6:R11"/>
    <mergeCell ref="R28:R33"/>
    <mergeCell ref="R18:R22"/>
    <mergeCell ref="R121:R125"/>
    <mergeCell ref="P6:P11"/>
    <mergeCell ref="P18:P22"/>
    <mergeCell ref="P121:P125"/>
    <mergeCell ref="R109:R114"/>
    <mergeCell ref="R132:R139"/>
    <mergeCell ref="P109:P114"/>
    <mergeCell ref="P28:P33"/>
    <mergeCell ref="P97:P102"/>
    <mergeCell ref="R97:R102"/>
    <mergeCell ref="P40:P45"/>
    <mergeCell ref="R40:R45"/>
    <mergeCell ref="P52:P57"/>
    <mergeCell ref="R52:R57"/>
    <mergeCell ref="P64:P69"/>
    <mergeCell ref="R64:R69"/>
    <mergeCell ref="P75:P80"/>
    <mergeCell ref="R75:R80"/>
    <mergeCell ref="M24:N24"/>
    <mergeCell ref="M130:N130"/>
    <mergeCell ref="M106:N106"/>
    <mergeCell ref="M26:N26"/>
    <mergeCell ref="M129:N129"/>
    <mergeCell ref="N121:N125"/>
    <mergeCell ref="E124:F124"/>
    <mergeCell ref="E28:F28"/>
    <mergeCell ref="F24:H24"/>
    <mergeCell ref="E125:F125"/>
    <mergeCell ref="E33:F33"/>
    <mergeCell ref="A105:E105"/>
    <mergeCell ref="A28:A33"/>
    <mergeCell ref="B28:B33"/>
    <mergeCell ref="C28:C33"/>
    <mergeCell ref="B121:B125"/>
    <mergeCell ref="E27:F27"/>
    <mergeCell ref="A25:E26"/>
    <mergeCell ref="F25:H26"/>
    <mergeCell ref="E32:F32"/>
    <mergeCell ref="A121:A125"/>
    <mergeCell ref="A24:E24"/>
    <mergeCell ref="C121:C125"/>
    <mergeCell ref="E29:F29"/>
    <mergeCell ref="R170:R175"/>
    <mergeCell ref="M28:M33"/>
    <mergeCell ref="N28:N33"/>
    <mergeCell ref="P170:P175"/>
    <mergeCell ref="R158:R164"/>
    <mergeCell ref="R145:R153"/>
    <mergeCell ref="I105:L105"/>
    <mergeCell ref="M109:M114"/>
    <mergeCell ref="M107:N107"/>
    <mergeCell ref="M132:M139"/>
    <mergeCell ref="N132:N139"/>
    <mergeCell ref="M145:M152"/>
    <mergeCell ref="M141:N141"/>
    <mergeCell ref="M142:N142"/>
    <mergeCell ref="M143:N143"/>
    <mergeCell ref="M105:N105"/>
    <mergeCell ref="I93:L93"/>
    <mergeCell ref="M93:N93"/>
    <mergeCell ref="I94:L95"/>
    <mergeCell ref="M94:N94"/>
    <mergeCell ref="M95:N95"/>
    <mergeCell ref="N170:N175"/>
    <mergeCell ref="N158:N164"/>
    <mergeCell ref="M83:N83"/>
    <mergeCell ref="E30:F30"/>
    <mergeCell ref="E31:F31"/>
    <mergeCell ref="I25:L26"/>
    <mergeCell ref="E110:F110"/>
    <mergeCell ref="E111:F111"/>
    <mergeCell ref="E112:F112"/>
    <mergeCell ref="E113:F113"/>
    <mergeCell ref="A106:E107"/>
    <mergeCell ref="A128:E128"/>
    <mergeCell ref="F128:H128"/>
    <mergeCell ref="I128:L128"/>
    <mergeCell ref="F106:H107"/>
    <mergeCell ref="F105:H105"/>
    <mergeCell ref="C109:C114"/>
    <mergeCell ref="B109:B114"/>
    <mergeCell ref="E114:F114"/>
    <mergeCell ref="E108:F108"/>
    <mergeCell ref="A109:A114"/>
    <mergeCell ref="E109:F109"/>
    <mergeCell ref="F84:H85"/>
    <mergeCell ref="I84:L85"/>
    <mergeCell ref="A93:E93"/>
    <mergeCell ref="F93:H93"/>
    <mergeCell ref="A94:E95"/>
    <mergeCell ref="E7:F7"/>
    <mergeCell ref="E8:F8"/>
    <mergeCell ref="E9:F9"/>
    <mergeCell ref="E10:F10"/>
    <mergeCell ref="I14:L14"/>
    <mergeCell ref="E11:F11"/>
    <mergeCell ref="E18:F18"/>
    <mergeCell ref="E19:F19"/>
    <mergeCell ref="E20:F20"/>
    <mergeCell ref="M14:N14"/>
    <mergeCell ref="M16:N16"/>
    <mergeCell ref="I118:L119"/>
    <mergeCell ref="E123:F123"/>
    <mergeCell ref="F118:H119"/>
    <mergeCell ref="A118:E119"/>
    <mergeCell ref="N18:N22"/>
    <mergeCell ref="A117:E117"/>
    <mergeCell ref="F15:H16"/>
    <mergeCell ref="I117:L117"/>
    <mergeCell ref="M117:N117"/>
    <mergeCell ref="A18:A22"/>
    <mergeCell ref="B18:B22"/>
    <mergeCell ref="C18:C22"/>
    <mergeCell ref="I15:L16"/>
    <mergeCell ref="M18:M22"/>
    <mergeCell ref="M118:N118"/>
    <mergeCell ref="M119:N119"/>
    <mergeCell ref="M121:M125"/>
    <mergeCell ref="I24:L24"/>
    <mergeCell ref="E21:F21"/>
    <mergeCell ref="E22:F22"/>
    <mergeCell ref="M25:N25"/>
    <mergeCell ref="N109:N114"/>
    <mergeCell ref="M2:N2"/>
    <mergeCell ref="I3:L4"/>
    <mergeCell ref="F3:H4"/>
    <mergeCell ref="E17:F17"/>
    <mergeCell ref="A1:E1"/>
    <mergeCell ref="F1:H1"/>
    <mergeCell ref="A14:E14"/>
    <mergeCell ref="F14:H14"/>
    <mergeCell ref="I1:N1"/>
    <mergeCell ref="A2:E2"/>
    <mergeCell ref="F2:H2"/>
    <mergeCell ref="I2:L2"/>
    <mergeCell ref="M15:N15"/>
    <mergeCell ref="N6:N11"/>
    <mergeCell ref="E5:F5"/>
    <mergeCell ref="A15:E16"/>
    <mergeCell ref="A3:E4"/>
    <mergeCell ref="A6:A11"/>
    <mergeCell ref="B6:B11"/>
    <mergeCell ref="C6:C11"/>
    <mergeCell ref="M3:N3"/>
    <mergeCell ref="M4:N4"/>
    <mergeCell ref="M6:M11"/>
    <mergeCell ref="E6:F6"/>
    <mergeCell ref="A132:A139"/>
    <mergeCell ref="E149:F149"/>
    <mergeCell ref="E157:F157"/>
    <mergeCell ref="A154:E154"/>
    <mergeCell ref="F154:H154"/>
    <mergeCell ref="A155:E156"/>
    <mergeCell ref="F155:H156"/>
    <mergeCell ref="E138:F138"/>
    <mergeCell ref="E139:F139"/>
    <mergeCell ref="E132:F132"/>
    <mergeCell ref="E133:F133"/>
    <mergeCell ref="E134:F134"/>
    <mergeCell ref="E136:F136"/>
    <mergeCell ref="E137:F137"/>
    <mergeCell ref="F142:H143"/>
    <mergeCell ref="E151:F151"/>
    <mergeCell ref="E152:F152"/>
    <mergeCell ref="B132:B139"/>
    <mergeCell ref="E135:F135"/>
    <mergeCell ref="E150:F150"/>
    <mergeCell ref="A141:E141"/>
    <mergeCell ref="E147:F147"/>
    <mergeCell ref="E148:F148"/>
    <mergeCell ref="E144:F144"/>
    <mergeCell ref="B170:B175"/>
    <mergeCell ref="M170:M175"/>
    <mergeCell ref="C170:C175"/>
    <mergeCell ref="C145:C152"/>
    <mergeCell ref="A167:E168"/>
    <mergeCell ref="E159:F159"/>
    <mergeCell ref="E160:F160"/>
    <mergeCell ref="E161:F161"/>
    <mergeCell ref="A145:A152"/>
    <mergeCell ref="B145:B152"/>
    <mergeCell ref="A166:E166"/>
    <mergeCell ref="A158:A164"/>
    <mergeCell ref="B158:B164"/>
    <mergeCell ref="E169:F169"/>
    <mergeCell ref="F167:H168"/>
    <mergeCell ref="M168:N168"/>
    <mergeCell ref="E175:F175"/>
    <mergeCell ref="A170:A175"/>
    <mergeCell ref="C158:C164"/>
    <mergeCell ref="M84:N84"/>
    <mergeCell ref="I83:L83"/>
    <mergeCell ref="M166:N166"/>
    <mergeCell ref="I166:L166"/>
    <mergeCell ref="M156:N156"/>
    <mergeCell ref="I154:L154"/>
    <mergeCell ref="M154:N154"/>
    <mergeCell ref="I155:L156"/>
    <mergeCell ref="M155:N155"/>
    <mergeCell ref="M128:N128"/>
    <mergeCell ref="I106:L107"/>
    <mergeCell ref="I129:L130"/>
    <mergeCell ref="I141:L141"/>
    <mergeCell ref="I142:L143"/>
    <mergeCell ref="M85:N85"/>
    <mergeCell ref="M87:M90"/>
    <mergeCell ref="N87:N90"/>
    <mergeCell ref="E97:F97"/>
    <mergeCell ref="M97:M102"/>
    <mergeCell ref="N97:N102"/>
    <mergeCell ref="E98:F98"/>
    <mergeCell ref="E99:F99"/>
    <mergeCell ref="E100:F100"/>
    <mergeCell ref="E101:F101"/>
    <mergeCell ref="E174:F174"/>
    <mergeCell ref="E172:F172"/>
    <mergeCell ref="E173:F173"/>
    <mergeCell ref="E170:F170"/>
    <mergeCell ref="E171:F171"/>
    <mergeCell ref="E145:F145"/>
    <mergeCell ref="E158:F158"/>
    <mergeCell ref="F166:H166"/>
    <mergeCell ref="E146:F146"/>
    <mergeCell ref="M167:N167"/>
    <mergeCell ref="N145:N152"/>
    <mergeCell ref="I167:L168"/>
    <mergeCell ref="M158:M164"/>
    <mergeCell ref="E162:F162"/>
    <mergeCell ref="E163:F163"/>
    <mergeCell ref="E164:F164"/>
    <mergeCell ref="F129:H130"/>
    <mergeCell ref="C87:C90"/>
    <mergeCell ref="A84:E85"/>
    <mergeCell ref="E90:F90"/>
    <mergeCell ref="A83:E83"/>
    <mergeCell ref="F83:H83"/>
    <mergeCell ref="A87:A90"/>
    <mergeCell ref="B87:B90"/>
    <mergeCell ref="E86:F86"/>
    <mergeCell ref="F141:H141"/>
    <mergeCell ref="C132:C139"/>
    <mergeCell ref="E131:F131"/>
    <mergeCell ref="F94:H95"/>
    <mergeCell ref="E96:F96"/>
    <mergeCell ref="A97:A102"/>
    <mergeCell ref="B97:B102"/>
    <mergeCell ref="C97:C102"/>
    <mergeCell ref="E87:F87"/>
    <mergeCell ref="E88:F88"/>
    <mergeCell ref="E89:F89"/>
    <mergeCell ref="E121:F121"/>
    <mergeCell ref="E122:F122"/>
    <mergeCell ref="F117:H117"/>
    <mergeCell ref="E120:F120"/>
    <mergeCell ref="A129:E130"/>
    <mergeCell ref="A142:E143"/>
    <mergeCell ref="A60:E60"/>
    <mergeCell ref="F60:H60"/>
    <mergeCell ref="I60:L60"/>
    <mergeCell ref="M60:N60"/>
    <mergeCell ref="A61:E62"/>
    <mergeCell ref="F61:H62"/>
    <mergeCell ref="I61:L62"/>
    <mergeCell ref="M61:N61"/>
    <mergeCell ref="M62:N62"/>
    <mergeCell ref="E63:F63"/>
    <mergeCell ref="A64:A69"/>
    <mergeCell ref="B64:B69"/>
    <mergeCell ref="C64:C69"/>
    <mergeCell ref="E64:F64"/>
    <mergeCell ref="M64:M69"/>
    <mergeCell ref="N64:N69"/>
    <mergeCell ref="E65:F65"/>
    <mergeCell ref="E66:F66"/>
    <mergeCell ref="E67:F67"/>
    <mergeCell ref="E68:F68"/>
    <mergeCell ref="E69:F69"/>
    <mergeCell ref="A71:E71"/>
    <mergeCell ref="F71:H71"/>
    <mergeCell ref="I71:L71"/>
    <mergeCell ref="M71:N71"/>
    <mergeCell ref="A72:E73"/>
    <mergeCell ref="F72:H73"/>
    <mergeCell ref="I72:L73"/>
    <mergeCell ref="M72:N72"/>
    <mergeCell ref="M73:N73"/>
    <mergeCell ref="E74:F74"/>
    <mergeCell ref="A75:A80"/>
    <mergeCell ref="B75:B80"/>
    <mergeCell ref="C75:C80"/>
    <mergeCell ref="E75:F75"/>
    <mergeCell ref="M75:M80"/>
    <mergeCell ref="N75:N80"/>
    <mergeCell ref="E76:F76"/>
    <mergeCell ref="E77:F77"/>
    <mergeCell ref="E78:F78"/>
    <mergeCell ref="E79:F79"/>
    <mergeCell ref="E80:F80"/>
  </mergeCells>
  <phoneticPr fontId="2" type="noConversion"/>
  <hyperlinks>
    <hyperlink ref="G124" r:id="rId1" xr:uid="{7FBFA44D-2E10-41D7-83EE-C7EEBF032913}"/>
    <hyperlink ref="G125" r:id="rId2" xr:uid="{9E726238-A7AE-49F6-89D9-3EB407729DC0}"/>
    <hyperlink ref="G123" r:id="rId3" xr:uid="{3AEAE149-FC37-4A8F-AD24-D936D21411FF}"/>
    <hyperlink ref="G30" r:id="rId4" xr:uid="{0ECB2261-86B8-430A-9663-418CB6B4D405}"/>
    <hyperlink ref="G31" r:id="rId5" xr:uid="{ED6B4D43-0863-4DAC-9E9F-A6A5D8D4F8CC}"/>
    <hyperlink ref="G32" r:id="rId6" xr:uid="{E534F71C-71C5-4D42-ACD9-9029E8BF041F}"/>
    <hyperlink ref="G33" r:id="rId7" xr:uid="{DB906511-88DC-4420-BADD-DDC9B3122773}"/>
    <hyperlink ref="G112" r:id="rId8" xr:uid="{EB0A0424-CE57-4C77-8D69-85467310654C}"/>
    <hyperlink ref="G136" r:id="rId9" xr:uid="{963764C6-B442-46A8-A702-7D29DC1DBBF3}"/>
    <hyperlink ref="G137" r:id="rId10" xr:uid="{43A03F5E-823B-41BA-A0BA-508A5CEABCDC}"/>
    <hyperlink ref="G138" r:id="rId11" xr:uid="{7650F2E0-3A9B-4352-98DC-505C61DA6E7E}"/>
    <hyperlink ref="G148" r:id="rId12" xr:uid="{19481779-025D-430A-A6D2-CD6F3CCFB7EE}"/>
    <hyperlink ref="G150" r:id="rId13" xr:uid="{2EA152C0-82A0-40A3-A9B8-ED1D985D6CDF}"/>
    <hyperlink ref="G151" r:id="rId14" xr:uid="{A6FB3B1D-F285-487D-A50D-A31B25A58B11}"/>
    <hyperlink ref="G149" r:id="rId15" xr:uid="{ECAF77E0-3B8B-4E55-B572-98DE76402181}"/>
    <hyperlink ref="G162" r:id="rId16" xr:uid="{BACB7103-8F0F-4C95-955E-A23EBF84AF3E}"/>
    <hyperlink ref="G163" r:id="rId17" xr:uid="{BF54C935-6F1B-4D8E-89AC-122AC98C1E1E}"/>
    <hyperlink ref="G164" r:id="rId18" xr:uid="{45197975-0E35-4544-87D4-D1EC096880E0}"/>
    <hyperlink ref="G175" r:id="rId19" xr:uid="{6AE44B9E-909E-4C03-B4E6-F08DB66C73FC}"/>
    <hyperlink ref="G90" r:id="rId20" xr:uid="{163E9592-5662-44FD-9991-AEB47DA2211D}"/>
    <hyperlink ref="G99" r:id="rId21" xr:uid="{09A5817E-6E74-4343-95A4-A874A179BB93}"/>
    <hyperlink ref="G101" r:id="rId22" xr:uid="{4964B177-2B13-46ED-AD85-EB9DE434DEA1}"/>
    <hyperlink ref="G100" r:id="rId23" xr:uid="{7291F253-64F6-4165-BBFF-35B72392E1F7}"/>
    <hyperlink ref="G9" r:id="rId24" xr:uid="{227F63F0-B4C7-4EAA-8D1C-91CFC0AA1328}"/>
    <hyperlink ref="G10" r:id="rId25" xr:uid="{E392B38A-687B-49F9-B736-31EE86E5CE5F}"/>
    <hyperlink ref="G11" r:id="rId26" xr:uid="{456B446F-D1BF-49DC-8165-530242568D9A}"/>
    <hyperlink ref="G22" r:id="rId27" xr:uid="{12B7EC0C-2494-469A-B73B-AE954704B105}"/>
    <hyperlink ref="G21" r:id="rId28" xr:uid="{391A30C1-8755-4703-8826-5C760532692B}"/>
    <hyperlink ref="G20" r:id="rId29" xr:uid="{1923F54D-0F82-4BB9-A3D4-77275796850F}"/>
    <hyperlink ref="G43" r:id="rId30" xr:uid="{273987BB-9057-46BE-94FA-CEAF05024FE1}"/>
    <hyperlink ref="G44" r:id="rId31" xr:uid="{6E1DD36E-FAA7-4381-BAA7-C808AA885C18}"/>
    <hyperlink ref="G45" r:id="rId32" xr:uid="{38163521-899E-4D0C-9D4B-464F84DD5A0C}"/>
    <hyperlink ref="G55" r:id="rId33" xr:uid="{32E3893E-E4F6-44F7-8E74-C2ED1293F812}"/>
    <hyperlink ref="G56" r:id="rId34" xr:uid="{040229B6-9E2F-412E-86E1-EE8857F980EB}"/>
    <hyperlink ref="G57" r:id="rId35" xr:uid="{82D5A256-1FCD-40BA-AD4C-C35608C95D3D}"/>
    <hyperlink ref="G67" r:id="rId36" xr:uid="{C0C3EECF-DC53-4D81-9E88-CFCA80EFBCA7}"/>
    <hyperlink ref="G68" r:id="rId37" xr:uid="{1787737E-8A05-4E96-8502-324E889B5260}"/>
    <hyperlink ref="G69" r:id="rId38" xr:uid="{BE3897D8-49BA-4134-BDCA-0F7B99EA3E97}"/>
    <hyperlink ref="G78" r:id="rId39" xr:uid="{0DCA543E-895B-402E-A9A7-6537DCEA1655}"/>
    <hyperlink ref="G79" r:id="rId40" xr:uid="{A9978559-7E18-4585-B2AD-763D2240A917}"/>
    <hyperlink ref="G80" r:id="rId41" xr:uid="{A6528B08-4D73-4FD0-B508-2FC77770A1DC}"/>
    <hyperlink ref="G89" r:id="rId42" xr:uid="{B74B309E-7246-4838-8FDA-1BD45151ECEF}"/>
    <hyperlink ref="G102" r:id="rId43" xr:uid="{22E37F87-33CA-478A-9811-7E093650FD25}"/>
    <hyperlink ref="G111" r:id="rId44" xr:uid="{7F58A892-4A37-44E9-8B40-C5E87B33A537}"/>
    <hyperlink ref="G113" r:id="rId45" xr:uid="{F64546D6-EA55-455F-8BB7-8E3E8E76B3E7}"/>
    <hyperlink ref="G114" r:id="rId46" xr:uid="{497E8065-8E7B-4757-A743-38ECBA58515B}"/>
    <hyperlink ref="G135" r:id="rId47" xr:uid="{F938BB85-E8BA-4403-B42C-CC5A6210A0D4}"/>
    <hyperlink ref="G139" r:id="rId48" xr:uid="{7E9A6809-C105-42A5-B967-74E6562DF4C2}"/>
    <hyperlink ref="G152" r:id="rId49" xr:uid="{9D94580E-2748-4F50-ACEB-15D1098EC402}"/>
    <hyperlink ref="G161" r:id="rId50" xr:uid="{DA924693-E1DA-436E-B9F6-3C79AD51948D}"/>
    <hyperlink ref="G173" r:id="rId51" xr:uid="{91F6689F-95A5-4EAD-BE69-0490C73C3EA9}"/>
    <hyperlink ref="G174" r:id="rId52" xr:uid="{7BBFA131-FE30-4EEE-A8A0-923A1E63D4C0}"/>
  </hyperlinks>
  <pageMargins left="0.511811024" right="0.511811024" top="0.78740157499999996" bottom="0.78740157499999996" header="0.31496062000000002" footer="0.31496062000000002"/>
  <pageSetup paperSize="9" scale="58" fitToHeight="0" orientation="landscape" r:id="rId53"/>
  <drawing r:id="rId5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18F0D-C8DC-4B6E-A552-88B5F2262A79}">
  <dimension ref="A1:T163"/>
  <sheetViews>
    <sheetView topLeftCell="A97" workbookViewId="0">
      <selection activeCell="I109" sqref="I109"/>
    </sheetView>
  </sheetViews>
  <sheetFormatPr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2" max="12" width="115" customWidth="1"/>
  </cols>
  <sheetData>
    <row r="1" spans="1:9" ht="42" customHeight="1">
      <c r="A1" s="190"/>
      <c r="B1" s="505" t="s">
        <v>535</v>
      </c>
      <c r="C1" s="506"/>
      <c r="D1" s="506"/>
      <c r="E1" s="506"/>
      <c r="F1" s="506"/>
      <c r="G1" s="506"/>
      <c r="H1" s="506"/>
      <c r="I1" s="506"/>
    </row>
    <row r="2" spans="1:9">
      <c r="A2" s="429"/>
      <c r="B2" s="429"/>
      <c r="C2" s="429"/>
      <c r="D2" s="429"/>
      <c r="E2" s="429"/>
      <c r="F2" s="429"/>
      <c r="G2" s="429"/>
      <c r="H2" s="429"/>
      <c r="I2" s="429"/>
    </row>
    <row r="3" spans="1:9">
      <c r="A3" s="507" t="s">
        <v>536</v>
      </c>
      <c r="B3" s="507"/>
      <c r="C3" s="507"/>
      <c r="D3" s="507"/>
      <c r="E3" s="507"/>
      <c r="F3" s="507"/>
      <c r="G3" s="507"/>
      <c r="H3" s="507"/>
      <c r="I3" s="507"/>
    </row>
    <row r="4" spans="1:9">
      <c r="A4" s="508" t="s">
        <v>537</v>
      </c>
      <c r="B4" s="508"/>
      <c r="C4" s="508"/>
      <c r="D4" s="508"/>
      <c r="E4" s="508"/>
      <c r="F4" s="508"/>
      <c r="G4" s="508"/>
      <c r="H4" s="508"/>
      <c r="I4" s="508"/>
    </row>
    <row r="5" spans="1:9">
      <c r="A5" s="508" t="s">
        <v>538</v>
      </c>
      <c r="B5" s="508"/>
      <c r="C5" s="508"/>
      <c r="D5" s="508"/>
      <c r="E5" s="508"/>
      <c r="F5" s="508"/>
      <c r="G5" s="508"/>
      <c r="H5" s="508"/>
      <c r="I5" s="508"/>
    </row>
    <row r="6" spans="1:9">
      <c r="A6" s="509" t="s">
        <v>539</v>
      </c>
      <c r="B6" s="509"/>
      <c r="C6" s="509"/>
      <c r="D6" s="509"/>
      <c r="E6" s="509"/>
      <c r="F6" s="509"/>
      <c r="G6" s="509"/>
      <c r="H6" s="509"/>
      <c r="I6" s="509"/>
    </row>
    <row r="7" spans="1:9">
      <c r="A7" s="429"/>
      <c r="B7" s="429"/>
      <c r="C7" s="429"/>
      <c r="D7" s="429"/>
      <c r="E7" s="429"/>
      <c r="F7" s="429"/>
      <c r="G7" s="429"/>
      <c r="H7" s="429"/>
      <c r="I7" s="429"/>
    </row>
    <row r="8" spans="1:9">
      <c r="A8" s="503" t="s">
        <v>540</v>
      </c>
      <c r="B8" s="503"/>
      <c r="C8" s="503"/>
      <c r="D8" s="503"/>
      <c r="E8" s="503"/>
      <c r="F8" s="503"/>
      <c r="G8" s="503"/>
      <c r="H8" s="503"/>
      <c r="I8" s="503"/>
    </row>
    <row r="9" spans="1:9">
      <c r="A9" s="504"/>
      <c r="B9" s="504"/>
      <c r="C9" s="504"/>
      <c r="D9" s="504"/>
      <c r="E9" s="504"/>
      <c r="F9" s="504"/>
      <c r="G9" s="504"/>
      <c r="H9" s="504"/>
      <c r="I9" s="504"/>
    </row>
    <row r="10" spans="1:9">
      <c r="A10" s="467" t="s">
        <v>541</v>
      </c>
      <c r="B10" s="467"/>
      <c r="C10" s="467"/>
      <c r="D10" s="467"/>
      <c r="E10" s="467"/>
      <c r="F10" s="467"/>
      <c r="G10" s="467"/>
      <c r="H10" s="467"/>
      <c r="I10" s="467"/>
    </row>
    <row r="11" spans="1:9">
      <c r="A11" s="193" t="s">
        <v>542</v>
      </c>
      <c r="B11" s="461" t="s">
        <v>543</v>
      </c>
      <c r="C11" s="461"/>
      <c r="D11" s="461"/>
      <c r="E11" s="461"/>
      <c r="F11" s="461"/>
      <c r="G11" s="461"/>
      <c r="H11" s="501"/>
      <c r="I11" s="450"/>
    </row>
    <row r="12" spans="1:9">
      <c r="A12" s="193" t="s">
        <v>544</v>
      </c>
      <c r="B12" s="461" t="s">
        <v>545</v>
      </c>
      <c r="C12" s="461"/>
      <c r="D12" s="461"/>
      <c r="E12" s="461"/>
      <c r="F12" s="461"/>
      <c r="G12" s="461"/>
      <c r="H12" s="450" t="s">
        <v>546</v>
      </c>
      <c r="I12" s="450"/>
    </row>
    <row r="13" spans="1:9">
      <c r="A13" s="193" t="s">
        <v>547</v>
      </c>
      <c r="B13" s="461" t="s">
        <v>548</v>
      </c>
      <c r="C13" s="461"/>
      <c r="D13" s="461"/>
      <c r="E13" s="461"/>
      <c r="F13" s="461"/>
      <c r="G13" s="461"/>
      <c r="H13" s="510" t="s">
        <v>549</v>
      </c>
      <c r="I13" s="450"/>
    </row>
    <row r="14" spans="1:9">
      <c r="A14" s="193" t="s">
        <v>550</v>
      </c>
      <c r="B14" s="461" t="s">
        <v>551</v>
      </c>
      <c r="C14" s="461"/>
      <c r="D14" s="461"/>
      <c r="E14" s="461"/>
      <c r="F14" s="461"/>
      <c r="G14" s="461"/>
      <c r="H14" s="450">
        <v>12</v>
      </c>
      <c r="I14" s="450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67" t="s">
        <v>552</v>
      </c>
      <c r="B16" s="467"/>
      <c r="C16" s="467"/>
      <c r="D16" s="467"/>
      <c r="E16" s="467"/>
      <c r="F16" s="467"/>
      <c r="G16" s="467"/>
      <c r="H16" s="467"/>
      <c r="I16" s="467"/>
    </row>
    <row r="17" spans="1:14">
      <c r="A17" s="450" t="s">
        <v>553</v>
      </c>
      <c r="B17" s="450"/>
      <c r="C17" s="450" t="s">
        <v>554</v>
      </c>
      <c r="D17" s="450"/>
      <c r="E17" s="450" t="s">
        <v>555</v>
      </c>
      <c r="F17" s="450"/>
      <c r="G17" s="450"/>
      <c r="H17" s="450"/>
      <c r="I17" s="450"/>
      <c r="J17" s="190"/>
    </row>
    <row r="18" spans="1:14">
      <c r="A18" s="450" t="s">
        <v>725</v>
      </c>
      <c r="B18" s="450"/>
      <c r="C18" s="450" t="s">
        <v>557</v>
      </c>
      <c r="D18" s="450"/>
      <c r="E18" s="450">
        <v>2</v>
      </c>
      <c r="F18" s="450"/>
      <c r="G18" s="450"/>
      <c r="H18" s="450"/>
      <c r="I18" s="450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67" t="s">
        <v>558</v>
      </c>
      <c r="B20" s="467"/>
      <c r="C20" s="467"/>
      <c r="D20" s="467"/>
      <c r="E20" s="467"/>
      <c r="F20" s="467"/>
      <c r="G20" s="467"/>
      <c r="H20" s="467"/>
      <c r="I20" s="467"/>
      <c r="J20" s="190"/>
    </row>
    <row r="21" spans="1:14">
      <c r="A21" s="193">
        <v>1</v>
      </c>
      <c r="B21" s="461" t="s">
        <v>559</v>
      </c>
      <c r="C21" s="461"/>
      <c r="D21" s="461"/>
      <c r="E21" s="461"/>
      <c r="F21" s="461"/>
      <c r="G21" s="461"/>
      <c r="H21" s="450" t="s">
        <v>560</v>
      </c>
      <c r="I21" s="450"/>
      <c r="J21" s="190"/>
    </row>
    <row r="22" spans="1:14">
      <c r="A22" s="193">
        <v>2</v>
      </c>
      <c r="B22" s="461" t="s">
        <v>561</v>
      </c>
      <c r="C22" s="461"/>
      <c r="D22" s="461"/>
      <c r="E22" s="461"/>
      <c r="F22" s="461"/>
      <c r="G22" s="461"/>
      <c r="H22" s="450" t="s">
        <v>562</v>
      </c>
      <c r="I22" s="450"/>
      <c r="J22" s="190"/>
    </row>
    <row r="23" spans="1:14">
      <c r="A23" s="193">
        <v>3</v>
      </c>
      <c r="B23" s="461" t="s">
        <v>563</v>
      </c>
      <c r="C23" s="461"/>
      <c r="D23" s="461"/>
      <c r="E23" s="461"/>
      <c r="F23" s="461"/>
      <c r="G23" s="461"/>
      <c r="H23" s="502">
        <v>2723.41</v>
      </c>
      <c r="I23" s="450"/>
      <c r="J23" s="190"/>
    </row>
    <row r="24" spans="1:14">
      <c r="A24" s="193">
        <v>4</v>
      </c>
      <c r="B24" s="461" t="s">
        <v>564</v>
      </c>
      <c r="C24" s="461"/>
      <c r="D24" s="461"/>
      <c r="E24" s="461"/>
      <c r="F24" s="461"/>
      <c r="G24" s="461"/>
      <c r="H24" s="460" t="s">
        <v>565</v>
      </c>
      <c r="I24" s="460"/>
      <c r="J24" s="190"/>
    </row>
    <row r="25" spans="1:14">
      <c r="A25" s="193">
        <v>5</v>
      </c>
      <c r="B25" s="461" t="s">
        <v>566</v>
      </c>
      <c r="C25" s="461"/>
      <c r="D25" s="461"/>
      <c r="E25" s="461"/>
      <c r="F25" s="461"/>
      <c r="G25" s="461"/>
      <c r="H25" s="501">
        <v>45292</v>
      </c>
      <c r="I25" s="450"/>
      <c r="J25" s="190"/>
    </row>
    <row r="26" spans="1:14">
      <c r="A26" s="429"/>
      <c r="B26" s="429"/>
      <c r="C26" s="429"/>
      <c r="D26" s="429"/>
      <c r="E26" s="429"/>
      <c r="F26" s="429"/>
      <c r="G26" s="429"/>
      <c r="H26" s="429"/>
      <c r="I26" s="429"/>
      <c r="J26" s="190"/>
    </row>
    <row r="27" spans="1:14">
      <c r="A27" s="472" t="s">
        <v>567</v>
      </c>
      <c r="B27" s="472"/>
      <c r="C27" s="472"/>
      <c r="D27" s="472"/>
      <c r="E27" s="472"/>
      <c r="F27" s="472"/>
      <c r="G27" s="472"/>
      <c r="H27" s="472"/>
      <c r="I27" s="472"/>
      <c r="J27" s="190"/>
    </row>
    <row r="28" spans="1:14">
      <c r="A28" s="195">
        <v>1</v>
      </c>
      <c r="B28" s="460" t="s">
        <v>568</v>
      </c>
      <c r="C28" s="460"/>
      <c r="D28" s="460"/>
      <c r="E28" s="460"/>
      <c r="F28" s="460"/>
      <c r="G28" s="460"/>
      <c r="H28" s="195" t="s">
        <v>569</v>
      </c>
      <c r="I28" s="195" t="s">
        <v>570</v>
      </c>
      <c r="J28" s="190"/>
    </row>
    <row r="29" spans="1:14">
      <c r="A29" s="195" t="s">
        <v>542</v>
      </c>
      <c r="B29" s="461" t="s">
        <v>571</v>
      </c>
      <c r="C29" s="461"/>
      <c r="D29" s="461"/>
      <c r="E29" s="461"/>
      <c r="F29" s="461"/>
      <c r="G29" s="461"/>
      <c r="H29" s="196"/>
      <c r="I29" s="197">
        <f>H23</f>
        <v>2723.41</v>
      </c>
      <c r="J29" s="498" t="s">
        <v>572</v>
      </c>
      <c r="K29" s="499"/>
      <c r="L29" s="499"/>
      <c r="M29" s="499"/>
      <c r="N29" s="500"/>
    </row>
    <row r="30" spans="1:14">
      <c r="A30" s="195" t="s">
        <v>544</v>
      </c>
      <c r="B30" s="461" t="s">
        <v>573</v>
      </c>
      <c r="C30" s="461"/>
      <c r="D30" s="461"/>
      <c r="E30" s="461"/>
      <c r="F30" s="461"/>
      <c r="G30" s="461"/>
      <c r="H30" s="198">
        <v>0.3</v>
      </c>
      <c r="I30" s="197">
        <f>TRUNC(I29*H30,2)</f>
        <v>817.02</v>
      </c>
      <c r="J30" s="498" t="s">
        <v>574</v>
      </c>
      <c r="K30" s="499"/>
      <c r="L30" s="499"/>
      <c r="M30" s="499"/>
      <c r="N30" s="500"/>
    </row>
    <row r="31" spans="1:14">
      <c r="A31" s="195" t="s">
        <v>547</v>
      </c>
      <c r="B31" s="461" t="s">
        <v>575</v>
      </c>
      <c r="C31" s="461"/>
      <c r="D31" s="461"/>
      <c r="E31" s="461"/>
      <c r="F31" s="461"/>
      <c r="G31" s="461"/>
      <c r="H31" s="198"/>
      <c r="I31" s="197">
        <v>0</v>
      </c>
      <c r="J31" s="190"/>
    </row>
    <row r="32" spans="1:14">
      <c r="A32" s="195" t="s">
        <v>550</v>
      </c>
      <c r="B32" s="461" t="s">
        <v>576</v>
      </c>
      <c r="C32" s="461"/>
      <c r="D32" s="461"/>
      <c r="E32" s="461"/>
      <c r="F32" s="461"/>
      <c r="G32" s="461"/>
      <c r="H32" s="198"/>
      <c r="I32" s="197">
        <f>TRUNC(((I29+I30)*H32*(7/12)),2)</f>
        <v>0</v>
      </c>
      <c r="J32" s="190"/>
    </row>
    <row r="33" spans="1:14">
      <c r="A33" s="195" t="s">
        <v>577</v>
      </c>
      <c r="B33" s="461" t="s">
        <v>578</v>
      </c>
      <c r="C33" s="461"/>
      <c r="D33" s="461"/>
      <c r="E33" s="461"/>
      <c r="F33" s="461"/>
      <c r="G33" s="461"/>
      <c r="H33" s="199"/>
      <c r="I33" s="197">
        <f>TRUNC((I29+I30)*H33*(1/12),2)</f>
        <v>0</v>
      </c>
      <c r="J33" s="190"/>
    </row>
    <row r="34" spans="1:14">
      <c r="A34" s="195" t="s">
        <v>579</v>
      </c>
      <c r="B34" s="461" t="s">
        <v>580</v>
      </c>
      <c r="C34" s="461"/>
      <c r="D34" s="461"/>
      <c r="E34" s="461"/>
      <c r="F34" s="461"/>
      <c r="G34" s="461"/>
      <c r="H34" s="198"/>
      <c r="I34" s="197">
        <v>0</v>
      </c>
      <c r="J34" s="190"/>
    </row>
    <row r="35" spans="1:14">
      <c r="A35" s="460" t="s">
        <v>581</v>
      </c>
      <c r="B35" s="460"/>
      <c r="C35" s="460"/>
      <c r="D35" s="460"/>
      <c r="E35" s="460"/>
      <c r="F35" s="460"/>
      <c r="G35" s="460"/>
      <c r="H35" s="460"/>
      <c r="I35" s="200">
        <f>SUM(I29:I34)</f>
        <v>3540.43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72" t="s">
        <v>582</v>
      </c>
      <c r="B37" s="472"/>
      <c r="C37" s="472"/>
      <c r="D37" s="472"/>
      <c r="E37" s="472"/>
      <c r="F37" s="472"/>
      <c r="G37" s="472"/>
      <c r="H37" s="472"/>
      <c r="I37" s="472"/>
      <c r="J37" s="202"/>
      <c r="L37" s="203"/>
    </row>
    <row r="38" spans="1:14">
      <c r="A38" s="460" t="s">
        <v>583</v>
      </c>
      <c r="B38" s="460"/>
      <c r="C38" s="460"/>
      <c r="D38" s="460"/>
      <c r="E38" s="460"/>
      <c r="F38" s="460"/>
      <c r="G38" s="460"/>
      <c r="H38" s="195" t="s">
        <v>569</v>
      </c>
      <c r="I38" s="195" t="s">
        <v>570</v>
      </c>
      <c r="J38" s="202"/>
    </row>
    <row r="39" spans="1:14">
      <c r="A39" s="195" t="s">
        <v>542</v>
      </c>
      <c r="B39" s="461" t="s">
        <v>584</v>
      </c>
      <c r="C39" s="461"/>
      <c r="D39" s="461"/>
      <c r="E39" s="461"/>
      <c r="F39" s="461"/>
      <c r="G39" s="461"/>
      <c r="H39" s="204">
        <f>1/12</f>
        <v>8.3333333333333329E-2</v>
      </c>
      <c r="I39" s="197">
        <f>TRUNC(I35*H39,2)</f>
        <v>295.02999999999997</v>
      </c>
      <c r="J39" s="490" t="s">
        <v>585</v>
      </c>
      <c r="K39" s="491"/>
      <c r="L39" s="491"/>
      <c r="M39" s="491"/>
      <c r="N39" s="492"/>
    </row>
    <row r="40" spans="1:14">
      <c r="A40" s="195" t="s">
        <v>544</v>
      </c>
      <c r="B40" s="461" t="s">
        <v>586</v>
      </c>
      <c r="C40" s="461"/>
      <c r="D40" s="461"/>
      <c r="E40" s="461"/>
      <c r="F40" s="461"/>
      <c r="G40" s="461"/>
      <c r="H40" s="205">
        <v>0.121</v>
      </c>
      <c r="I40" s="197">
        <f>TRUNC(I35*H40,2)</f>
        <v>428.39</v>
      </c>
      <c r="J40" s="490" t="s">
        <v>587</v>
      </c>
      <c r="K40" s="491"/>
      <c r="L40" s="491"/>
      <c r="M40" s="491"/>
      <c r="N40" s="492"/>
    </row>
    <row r="41" spans="1:14">
      <c r="A41" s="460" t="s">
        <v>588</v>
      </c>
      <c r="B41" s="460"/>
      <c r="C41" s="460"/>
      <c r="D41" s="460"/>
      <c r="E41" s="460"/>
      <c r="F41" s="460"/>
      <c r="G41" s="460"/>
      <c r="H41" s="206">
        <v>0.20430000000000001</v>
      </c>
      <c r="I41" s="200">
        <f>SUM(I39:I40)</f>
        <v>723.42</v>
      </c>
      <c r="J41" s="202"/>
    </row>
    <row r="42" spans="1:14">
      <c r="A42" s="496"/>
      <c r="B42" s="497"/>
      <c r="C42" s="497"/>
      <c r="D42" s="497"/>
      <c r="E42" s="497"/>
      <c r="F42" s="497"/>
      <c r="G42" s="497"/>
      <c r="H42" s="497"/>
      <c r="I42" s="497"/>
      <c r="J42" s="190"/>
    </row>
    <row r="43" spans="1:14">
      <c r="A43" s="460" t="s">
        <v>589</v>
      </c>
      <c r="B43" s="460"/>
      <c r="C43" s="460"/>
      <c r="D43" s="460"/>
      <c r="E43" s="460"/>
      <c r="F43" s="460"/>
      <c r="G43" s="460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61" t="s">
        <v>590</v>
      </c>
      <c r="C44" s="461"/>
      <c r="D44" s="461"/>
      <c r="E44" s="461"/>
      <c r="F44" s="461"/>
      <c r="G44" s="461"/>
      <c r="H44" s="204">
        <v>0.2</v>
      </c>
      <c r="I44" s="197">
        <f>TRUNC(($I$35+$I$41)*H44,2)</f>
        <v>852.77</v>
      </c>
      <c r="J44" s="490" t="s">
        <v>591</v>
      </c>
      <c r="K44" s="491"/>
      <c r="L44" s="491"/>
      <c r="M44" s="491"/>
      <c r="N44" s="492"/>
    </row>
    <row r="45" spans="1:14">
      <c r="A45" s="195" t="s">
        <v>544</v>
      </c>
      <c r="B45" s="461" t="s">
        <v>592</v>
      </c>
      <c r="C45" s="461"/>
      <c r="D45" s="461"/>
      <c r="E45" s="461"/>
      <c r="F45" s="461"/>
      <c r="G45" s="461"/>
      <c r="H45" s="204">
        <v>2.5000000000000001E-2</v>
      </c>
      <c r="I45" s="197">
        <f t="shared" ref="I45:I51" si="0">TRUNC(($I$35+$I$41)*H45,2)</f>
        <v>106.59</v>
      </c>
      <c r="J45" s="490" t="s">
        <v>593</v>
      </c>
      <c r="K45" s="491"/>
      <c r="L45" s="491"/>
      <c r="M45" s="491"/>
      <c r="N45" s="492"/>
    </row>
    <row r="46" spans="1:14">
      <c r="A46" s="195" t="s">
        <v>547</v>
      </c>
      <c r="B46" s="461" t="s">
        <v>594</v>
      </c>
      <c r="C46" s="461"/>
      <c r="D46" s="461"/>
      <c r="E46" s="461"/>
      <c r="F46" s="461"/>
      <c r="G46" s="461"/>
      <c r="H46" s="204">
        <v>0.03</v>
      </c>
      <c r="I46" s="197">
        <f t="shared" si="0"/>
        <v>127.91</v>
      </c>
      <c r="J46" s="493" t="s">
        <v>595</v>
      </c>
      <c r="K46" s="494"/>
      <c r="L46" s="494"/>
      <c r="M46" s="494"/>
      <c r="N46" s="495"/>
    </row>
    <row r="47" spans="1:14">
      <c r="A47" s="195" t="s">
        <v>550</v>
      </c>
      <c r="B47" s="461" t="s">
        <v>596</v>
      </c>
      <c r="C47" s="461"/>
      <c r="D47" s="461"/>
      <c r="E47" s="461"/>
      <c r="F47" s="461"/>
      <c r="G47" s="461"/>
      <c r="H47" s="204">
        <v>1.4999999999999999E-2</v>
      </c>
      <c r="I47" s="197">
        <f t="shared" si="0"/>
        <v>63.95</v>
      </c>
      <c r="J47" s="490" t="s">
        <v>597</v>
      </c>
      <c r="K47" s="491"/>
      <c r="L47" s="491"/>
      <c r="M47" s="491"/>
      <c r="N47" s="492"/>
    </row>
    <row r="48" spans="1:14">
      <c r="A48" s="195" t="s">
        <v>577</v>
      </c>
      <c r="B48" s="461" t="s">
        <v>598</v>
      </c>
      <c r="C48" s="461"/>
      <c r="D48" s="461"/>
      <c r="E48" s="461"/>
      <c r="F48" s="461"/>
      <c r="G48" s="461"/>
      <c r="H48" s="204">
        <v>0.01</v>
      </c>
      <c r="I48" s="197">
        <f t="shared" si="0"/>
        <v>42.63</v>
      </c>
      <c r="J48" s="490" t="s">
        <v>599</v>
      </c>
      <c r="K48" s="491"/>
      <c r="L48" s="491"/>
      <c r="M48" s="491"/>
      <c r="N48" s="492"/>
    </row>
    <row r="49" spans="1:20">
      <c r="A49" s="195" t="s">
        <v>579</v>
      </c>
      <c r="B49" s="461" t="s">
        <v>600</v>
      </c>
      <c r="C49" s="461"/>
      <c r="D49" s="461"/>
      <c r="E49" s="461"/>
      <c r="F49" s="461"/>
      <c r="G49" s="461"/>
      <c r="H49" s="204">
        <v>6.0000000000000001E-3</v>
      </c>
      <c r="I49" s="197">
        <f t="shared" si="0"/>
        <v>25.58</v>
      </c>
      <c r="J49" s="490" t="s">
        <v>601</v>
      </c>
      <c r="K49" s="491"/>
      <c r="L49" s="491"/>
      <c r="M49" s="491"/>
      <c r="N49" s="492"/>
    </row>
    <row r="50" spans="1:20">
      <c r="A50" s="195" t="s">
        <v>602</v>
      </c>
      <c r="B50" s="461" t="s">
        <v>603</v>
      </c>
      <c r="C50" s="461"/>
      <c r="D50" s="461"/>
      <c r="E50" s="461"/>
      <c r="F50" s="461"/>
      <c r="G50" s="461"/>
      <c r="H50" s="204">
        <v>2E-3</v>
      </c>
      <c r="I50" s="197">
        <f t="shared" si="0"/>
        <v>8.52</v>
      </c>
      <c r="J50" s="490" t="s">
        <v>604</v>
      </c>
      <c r="K50" s="491"/>
      <c r="L50" s="491"/>
      <c r="M50" s="491"/>
      <c r="N50" s="492"/>
    </row>
    <row r="51" spans="1:20">
      <c r="A51" s="195" t="s">
        <v>605</v>
      </c>
      <c r="B51" s="461" t="s">
        <v>606</v>
      </c>
      <c r="C51" s="461"/>
      <c r="D51" s="461"/>
      <c r="E51" s="461"/>
      <c r="F51" s="461"/>
      <c r="G51" s="461"/>
      <c r="H51" s="204">
        <v>0.08</v>
      </c>
      <c r="I51" s="197">
        <f t="shared" si="0"/>
        <v>341.1</v>
      </c>
      <c r="J51" s="490" t="s">
        <v>607</v>
      </c>
      <c r="K51" s="491"/>
      <c r="L51" s="491"/>
      <c r="M51" s="491"/>
      <c r="N51" s="492"/>
    </row>
    <row r="52" spans="1:20">
      <c r="A52" s="460" t="s">
        <v>608</v>
      </c>
      <c r="B52" s="460"/>
      <c r="C52" s="460"/>
      <c r="D52" s="460"/>
      <c r="E52" s="460"/>
      <c r="F52" s="460"/>
      <c r="G52" s="460"/>
      <c r="H52" s="206">
        <v>0.36800000000000005</v>
      </c>
      <c r="I52" s="200">
        <f>SUM(I44:I51)</f>
        <v>1569.0500000000002</v>
      </c>
      <c r="J52" s="202"/>
    </row>
    <row r="53" spans="1:20">
      <c r="A53" s="485"/>
      <c r="B53" s="485"/>
      <c r="C53" s="485"/>
      <c r="D53" s="485"/>
      <c r="E53" s="485"/>
      <c r="F53" s="485"/>
      <c r="G53" s="485"/>
      <c r="H53" s="485"/>
      <c r="I53" s="486"/>
      <c r="J53" s="202"/>
    </row>
    <row r="54" spans="1:20">
      <c r="A54" s="460" t="s">
        <v>609</v>
      </c>
      <c r="B54" s="460"/>
      <c r="C54" s="460"/>
      <c r="D54" s="460"/>
      <c r="E54" s="460"/>
      <c r="F54" s="460"/>
      <c r="G54" s="460"/>
      <c r="H54" s="206"/>
      <c r="I54" s="195" t="s">
        <v>570</v>
      </c>
      <c r="J54" s="202"/>
    </row>
    <row r="55" spans="1:20">
      <c r="A55" s="195" t="s">
        <v>542</v>
      </c>
      <c r="B55" s="473" t="s">
        <v>726</v>
      </c>
      <c r="C55" s="473"/>
      <c r="D55" s="473"/>
      <c r="E55" s="473"/>
      <c r="F55" s="473"/>
      <c r="G55" s="473"/>
      <c r="H55" s="193" t="s">
        <v>534</v>
      </c>
      <c r="I55" s="209">
        <f>TRUNC((5.5*2*11),2)</f>
        <v>121</v>
      </c>
      <c r="J55" s="487" t="s">
        <v>611</v>
      </c>
      <c r="K55" s="488"/>
      <c r="L55" s="488"/>
      <c r="M55" s="488"/>
      <c r="N55" s="489"/>
      <c r="O55" t="s">
        <v>727</v>
      </c>
    </row>
    <row r="56" spans="1:20">
      <c r="A56" s="195" t="s">
        <v>544</v>
      </c>
      <c r="B56" s="473" t="s">
        <v>728</v>
      </c>
      <c r="C56" s="473"/>
      <c r="D56" s="473"/>
      <c r="E56" s="473"/>
      <c r="F56" s="473"/>
      <c r="G56" s="473"/>
      <c r="H56" s="193" t="s">
        <v>534</v>
      </c>
      <c r="I56" s="209">
        <f>TRUNC(((47.37-0.94)*11),2)</f>
        <v>510.73</v>
      </c>
      <c r="J56" s="479" t="s">
        <v>613</v>
      </c>
      <c r="K56" s="480"/>
      <c r="L56" s="480"/>
      <c r="M56" s="480"/>
      <c r="N56" s="481"/>
      <c r="O56" t="s">
        <v>727</v>
      </c>
    </row>
    <row r="57" spans="1:20" ht="22.5" customHeight="1">
      <c r="A57" s="195" t="s">
        <v>547</v>
      </c>
      <c r="B57" s="473" t="s">
        <v>614</v>
      </c>
      <c r="C57" s="473"/>
      <c r="D57" s="473"/>
      <c r="E57" s="473"/>
      <c r="F57" s="473"/>
      <c r="G57" s="473"/>
      <c r="H57" s="193" t="s">
        <v>534</v>
      </c>
      <c r="I57" s="209">
        <v>0</v>
      </c>
      <c r="J57" s="479" t="s">
        <v>615</v>
      </c>
      <c r="K57" s="480"/>
      <c r="L57" s="480"/>
      <c r="M57" s="480"/>
      <c r="N57" s="481"/>
      <c r="T57" t="s">
        <v>616</v>
      </c>
    </row>
    <row r="58" spans="1:20">
      <c r="A58" s="195" t="s">
        <v>550</v>
      </c>
      <c r="B58" s="473" t="s">
        <v>617</v>
      </c>
      <c r="C58" s="473"/>
      <c r="D58" s="473"/>
      <c r="E58" s="473"/>
      <c r="F58" s="473"/>
      <c r="G58" s="473"/>
      <c r="H58" s="193" t="s">
        <v>534</v>
      </c>
      <c r="I58" s="209">
        <f>'Seguro de Vida'!M9</f>
        <v>11.91</v>
      </c>
      <c r="J58" s="479" t="s">
        <v>618</v>
      </c>
      <c r="K58" s="480"/>
      <c r="L58" s="480"/>
      <c r="M58" s="480"/>
      <c r="N58" s="481"/>
    </row>
    <row r="59" spans="1:20">
      <c r="A59" s="195" t="s">
        <v>577</v>
      </c>
      <c r="B59" s="482" t="s">
        <v>619</v>
      </c>
      <c r="C59" s="483"/>
      <c r="D59" s="483"/>
      <c r="E59" s="483"/>
      <c r="F59" s="483"/>
      <c r="G59" s="484"/>
      <c r="H59" s="193" t="s">
        <v>534</v>
      </c>
      <c r="I59" s="209">
        <v>0</v>
      </c>
      <c r="J59" s="479" t="s">
        <v>620</v>
      </c>
      <c r="K59" s="480"/>
      <c r="L59" s="480"/>
      <c r="M59" s="480"/>
      <c r="N59" s="481"/>
    </row>
    <row r="60" spans="1:20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20">
      <c r="A61" s="460" t="s">
        <v>622</v>
      </c>
      <c r="B61" s="460"/>
      <c r="C61" s="460"/>
      <c r="D61" s="460"/>
      <c r="E61" s="460"/>
      <c r="F61" s="460"/>
      <c r="G61" s="460"/>
      <c r="H61" s="460"/>
      <c r="I61" s="200">
        <f>SUM(I55:I60)</f>
        <v>764.34</v>
      </c>
      <c r="J61" s="202"/>
    </row>
    <row r="62" spans="1:20">
      <c r="A62" s="485"/>
      <c r="B62" s="485"/>
      <c r="C62" s="485"/>
      <c r="D62" s="485"/>
      <c r="E62" s="485"/>
      <c r="F62" s="485"/>
      <c r="G62" s="485"/>
      <c r="H62" s="485"/>
      <c r="I62" s="486"/>
      <c r="J62" s="202"/>
    </row>
    <row r="63" spans="1:20">
      <c r="A63" s="467" t="s">
        <v>623</v>
      </c>
      <c r="B63" s="467"/>
      <c r="C63" s="467"/>
      <c r="D63" s="467"/>
      <c r="E63" s="467"/>
      <c r="F63" s="467"/>
      <c r="G63" s="467"/>
      <c r="H63" s="467"/>
      <c r="I63" s="467"/>
      <c r="J63" s="202"/>
    </row>
    <row r="64" spans="1:20">
      <c r="A64" s="460" t="s">
        <v>624</v>
      </c>
      <c r="B64" s="460"/>
      <c r="C64" s="460"/>
      <c r="D64" s="460"/>
      <c r="E64" s="460"/>
      <c r="F64" s="460"/>
      <c r="G64" s="460"/>
      <c r="H64" s="460"/>
      <c r="I64" s="195" t="s">
        <v>570</v>
      </c>
      <c r="J64" s="202"/>
    </row>
    <row r="65" spans="1:10">
      <c r="A65" s="195" t="s">
        <v>625</v>
      </c>
      <c r="B65" s="461" t="s">
        <v>626</v>
      </c>
      <c r="C65" s="461"/>
      <c r="D65" s="461"/>
      <c r="E65" s="461"/>
      <c r="F65" s="461"/>
      <c r="G65" s="461"/>
      <c r="H65" s="461"/>
      <c r="I65" s="197">
        <f>I41</f>
        <v>723.42</v>
      </c>
      <c r="J65" s="202"/>
    </row>
    <row r="66" spans="1:10">
      <c r="A66" s="195" t="s">
        <v>627</v>
      </c>
      <c r="B66" s="461" t="s">
        <v>628</v>
      </c>
      <c r="C66" s="461"/>
      <c r="D66" s="461"/>
      <c r="E66" s="461"/>
      <c r="F66" s="461"/>
      <c r="G66" s="461"/>
      <c r="H66" s="461"/>
      <c r="I66" s="197">
        <f>I52</f>
        <v>1569.0500000000002</v>
      </c>
      <c r="J66" s="202"/>
    </row>
    <row r="67" spans="1:10">
      <c r="A67" s="195" t="s">
        <v>629</v>
      </c>
      <c r="B67" s="461" t="s">
        <v>630</v>
      </c>
      <c r="C67" s="461"/>
      <c r="D67" s="461"/>
      <c r="E67" s="461"/>
      <c r="F67" s="461"/>
      <c r="G67" s="461"/>
      <c r="H67" s="461"/>
      <c r="I67" s="197">
        <f>I61</f>
        <v>764.34</v>
      </c>
      <c r="J67" s="202"/>
    </row>
    <row r="68" spans="1:10">
      <c r="A68" s="460" t="s">
        <v>631</v>
      </c>
      <c r="B68" s="460"/>
      <c r="C68" s="460"/>
      <c r="D68" s="460"/>
      <c r="E68" s="460"/>
      <c r="F68" s="460"/>
      <c r="G68" s="460"/>
      <c r="H68" s="460"/>
      <c r="I68" s="200">
        <f>SUM(I65:I67)</f>
        <v>3056.8100000000004</v>
      </c>
      <c r="J68" s="202"/>
    </row>
    <row r="69" spans="1:10">
      <c r="A69" s="470"/>
      <c r="B69" s="471"/>
      <c r="C69" s="471"/>
      <c r="D69" s="471"/>
      <c r="E69" s="471"/>
      <c r="F69" s="471"/>
      <c r="G69" s="471"/>
      <c r="H69" s="471"/>
      <c r="I69" s="471"/>
      <c r="J69" s="202"/>
    </row>
    <row r="70" spans="1:10">
      <c r="A70" s="472" t="s">
        <v>632</v>
      </c>
      <c r="B70" s="472"/>
      <c r="C70" s="472"/>
      <c r="D70" s="472"/>
      <c r="E70" s="472"/>
      <c r="F70" s="472"/>
      <c r="G70" s="472"/>
      <c r="H70" s="472"/>
      <c r="I70" s="472"/>
      <c r="J70" s="202"/>
    </row>
    <row r="71" spans="1:10">
      <c r="A71" s="195">
        <v>3</v>
      </c>
      <c r="B71" s="460" t="s">
        <v>633</v>
      </c>
      <c r="C71" s="460"/>
      <c r="D71" s="460"/>
      <c r="E71" s="460"/>
      <c r="F71" s="460"/>
      <c r="G71" s="460"/>
      <c r="H71" s="195" t="s">
        <v>569</v>
      </c>
      <c r="I71" s="195" t="s">
        <v>570</v>
      </c>
      <c r="J71" s="202"/>
    </row>
    <row r="72" spans="1:10">
      <c r="A72" s="195" t="s">
        <v>542</v>
      </c>
      <c r="B72" s="461" t="s">
        <v>634</v>
      </c>
      <c r="C72" s="461"/>
      <c r="D72" s="461"/>
      <c r="E72" s="461"/>
      <c r="F72" s="461"/>
      <c r="G72" s="461"/>
      <c r="H72" s="204">
        <f>(1/12)*5.5%</f>
        <v>4.5833333333333334E-3</v>
      </c>
      <c r="I72" s="197">
        <f>TRUNC(H72*$I$35,2)</f>
        <v>16.22</v>
      </c>
      <c r="J72" s="202"/>
    </row>
    <row r="73" spans="1:10">
      <c r="A73" s="195" t="s">
        <v>544</v>
      </c>
      <c r="B73" s="461" t="s">
        <v>635</v>
      </c>
      <c r="C73" s="461"/>
      <c r="D73" s="461"/>
      <c r="E73" s="461"/>
      <c r="F73" s="461"/>
      <c r="G73" s="461"/>
      <c r="H73" s="204">
        <f>H51*H72</f>
        <v>3.6666666666666667E-4</v>
      </c>
      <c r="I73" s="197">
        <f>TRUNC(H73*$I$35,2)</f>
        <v>1.29</v>
      </c>
      <c r="J73" s="202"/>
    </row>
    <row r="74" spans="1:10">
      <c r="A74" s="195" t="s">
        <v>547</v>
      </c>
      <c r="B74" s="461" t="s">
        <v>636</v>
      </c>
      <c r="C74" s="461"/>
      <c r="D74" s="461"/>
      <c r="E74" s="461"/>
      <c r="F74" s="461"/>
      <c r="G74" s="461"/>
      <c r="H74" s="204">
        <f>((7/30)/12)</f>
        <v>1.9444444444444445E-2</v>
      </c>
      <c r="I74" s="197">
        <f>TRUNC(H74*$I$35,2)</f>
        <v>68.84</v>
      </c>
      <c r="J74" s="202"/>
    </row>
    <row r="75" spans="1:10">
      <c r="A75" s="195" t="s">
        <v>550</v>
      </c>
      <c r="B75" s="461" t="s">
        <v>637</v>
      </c>
      <c r="C75" s="461"/>
      <c r="D75" s="461"/>
      <c r="E75" s="461"/>
      <c r="F75" s="461"/>
      <c r="G75" s="461"/>
      <c r="H75" s="205">
        <f>H52*H74</f>
        <v>7.1555555555555565E-3</v>
      </c>
      <c r="I75" s="197">
        <f>TRUNC(H75*$I$35,2)</f>
        <v>25.33</v>
      </c>
      <c r="J75" s="202"/>
    </row>
    <row r="76" spans="1:10" ht="24.75" customHeight="1">
      <c r="A76" s="195" t="s">
        <v>577</v>
      </c>
      <c r="B76" s="425" t="s">
        <v>638</v>
      </c>
      <c r="C76" s="425"/>
      <c r="D76" s="425"/>
      <c r="E76" s="425"/>
      <c r="F76" s="425"/>
      <c r="G76" s="425"/>
      <c r="H76" s="204">
        <v>0.04</v>
      </c>
      <c r="I76" s="197">
        <f>TRUNC(H76*$I$35,2)</f>
        <v>141.61000000000001</v>
      </c>
      <c r="J76" s="202"/>
    </row>
    <row r="77" spans="1:10">
      <c r="A77" s="460" t="s">
        <v>639</v>
      </c>
      <c r="B77" s="460"/>
      <c r="C77" s="460"/>
      <c r="D77" s="460"/>
      <c r="E77" s="460"/>
      <c r="F77" s="460"/>
      <c r="G77" s="460"/>
      <c r="H77" s="206">
        <v>8.1000000000000003E-2</v>
      </c>
      <c r="I77" s="200">
        <f>SUM(I72:I76)</f>
        <v>253.29000000000002</v>
      </c>
      <c r="J77" s="202"/>
    </row>
    <row r="78" spans="1:10">
      <c r="A78" s="443"/>
      <c r="B78" s="478"/>
      <c r="C78" s="478"/>
      <c r="D78" s="478"/>
      <c r="E78" s="478"/>
      <c r="F78" s="478"/>
      <c r="G78" s="478"/>
      <c r="H78" s="478"/>
      <c r="I78" s="478"/>
      <c r="J78" s="202"/>
    </row>
    <row r="79" spans="1:10">
      <c r="A79" s="472" t="s">
        <v>640</v>
      </c>
      <c r="B79" s="472"/>
      <c r="C79" s="472"/>
      <c r="D79" s="472"/>
      <c r="E79" s="472"/>
      <c r="F79" s="472"/>
      <c r="G79" s="472"/>
      <c r="H79" s="472"/>
      <c r="I79" s="472"/>
      <c r="J79" s="202"/>
    </row>
    <row r="80" spans="1:10">
      <c r="A80" s="460" t="s">
        <v>641</v>
      </c>
      <c r="B80" s="460"/>
      <c r="C80" s="460"/>
      <c r="D80" s="460"/>
      <c r="E80" s="460"/>
      <c r="F80" s="460"/>
      <c r="G80" s="460"/>
      <c r="H80" s="195" t="s">
        <v>569</v>
      </c>
      <c r="I80" s="195" t="s">
        <v>570</v>
      </c>
      <c r="J80" s="202"/>
    </row>
    <row r="81" spans="1:16">
      <c r="A81" s="195" t="s">
        <v>542</v>
      </c>
      <c r="B81" s="461" t="s">
        <v>642</v>
      </c>
      <c r="C81" s="461"/>
      <c r="D81" s="461"/>
      <c r="E81" s="461"/>
      <c r="F81" s="461"/>
      <c r="G81" s="461"/>
      <c r="H81" s="204">
        <f>(((1/12)+(1/12)+((1/12)/3))/12)</f>
        <v>1.6203703703703703E-2</v>
      </c>
      <c r="I81" s="197">
        <f>TRUNC($I$35*H81,2)</f>
        <v>57.36</v>
      </c>
      <c r="J81" s="202"/>
    </row>
    <row r="82" spans="1:16">
      <c r="A82" s="195" t="s">
        <v>544</v>
      </c>
      <c r="B82" s="461" t="s">
        <v>643</v>
      </c>
      <c r="C82" s="461"/>
      <c r="D82" s="461"/>
      <c r="E82" s="461"/>
      <c r="F82" s="461"/>
      <c r="G82" s="461"/>
      <c r="H82" s="204">
        <f>(1/30)/12</f>
        <v>2.7777777777777779E-3</v>
      </c>
      <c r="I82" s="197">
        <f>TRUNC($I$35*H82,2)</f>
        <v>9.83</v>
      </c>
      <c r="J82" s="202"/>
    </row>
    <row r="83" spans="1:16">
      <c r="A83" s="195" t="s">
        <v>547</v>
      </c>
      <c r="B83" s="461" t="s">
        <v>644</v>
      </c>
      <c r="C83" s="461"/>
      <c r="D83" s="461"/>
      <c r="E83" s="461"/>
      <c r="F83" s="461"/>
      <c r="G83" s="461"/>
      <c r="H83" s="204">
        <f>((5/30)/12)*1.5%</f>
        <v>2.0833333333333332E-4</v>
      </c>
      <c r="I83" s="197">
        <f>TRUNC($I$35*H83,2)</f>
        <v>0.73</v>
      </c>
      <c r="J83" s="202"/>
    </row>
    <row r="84" spans="1:16">
      <c r="A84" s="195" t="s">
        <v>550</v>
      </c>
      <c r="B84" s="461" t="s">
        <v>645</v>
      </c>
      <c r="C84" s="461"/>
      <c r="D84" s="461"/>
      <c r="E84" s="461"/>
      <c r="F84" s="461"/>
      <c r="G84" s="461"/>
      <c r="H84" s="204">
        <f>((15/30)/12)*8%</f>
        <v>3.3333333333333331E-3</v>
      </c>
      <c r="I84" s="197">
        <f>TRUNC($I$35*H84,2)</f>
        <v>11.8</v>
      </c>
      <c r="J84" s="202"/>
      <c r="P84" s="214"/>
    </row>
    <row r="85" spans="1:16">
      <c r="A85" s="195" t="s">
        <v>577</v>
      </c>
      <c r="B85" s="461" t="s">
        <v>646</v>
      </c>
      <c r="C85" s="461"/>
      <c r="D85" s="461"/>
      <c r="E85" s="461"/>
      <c r="F85" s="461"/>
      <c r="G85" s="461"/>
      <c r="H85" s="204">
        <f>(((4*8.33%)+(4*2.78%))/12)*2%</f>
        <v>7.4066666666666671E-4</v>
      </c>
      <c r="I85" s="197">
        <f>TRUNC($I$35*H85,2)</f>
        <v>2.62</v>
      </c>
      <c r="J85" s="202"/>
    </row>
    <row r="86" spans="1:16">
      <c r="A86" s="195" t="s">
        <v>579</v>
      </c>
      <c r="B86" s="461" t="s">
        <v>647</v>
      </c>
      <c r="C86" s="461"/>
      <c r="D86" s="461"/>
      <c r="E86" s="461"/>
      <c r="F86" s="461"/>
      <c r="G86" s="461"/>
      <c r="H86" s="204">
        <v>0</v>
      </c>
      <c r="I86" s="197">
        <f>TRUNC(($I$35+$I$68+$I$77)*H86,2)</f>
        <v>0</v>
      </c>
      <c r="J86" s="202"/>
    </row>
    <row r="87" spans="1:16">
      <c r="A87" s="460" t="s">
        <v>648</v>
      </c>
      <c r="B87" s="460"/>
      <c r="C87" s="460"/>
      <c r="D87" s="460"/>
      <c r="E87" s="460"/>
      <c r="F87" s="460"/>
      <c r="G87" s="460"/>
      <c r="H87" s="206">
        <f>SUM(H81:H86)</f>
        <v>2.3263814814814817E-2</v>
      </c>
      <c r="I87" s="200">
        <f>SUM(I81:I86)</f>
        <v>82.34</v>
      </c>
      <c r="J87" s="202"/>
    </row>
    <row r="88" spans="1:16">
      <c r="A88" s="474"/>
      <c r="B88" s="475"/>
      <c r="C88" s="475"/>
      <c r="D88" s="475"/>
      <c r="E88" s="475"/>
      <c r="F88" s="475"/>
      <c r="G88" s="475"/>
      <c r="H88" s="475"/>
      <c r="I88" s="475"/>
      <c r="J88" s="202"/>
    </row>
    <row r="89" spans="1:16">
      <c r="A89" s="460" t="s">
        <v>649</v>
      </c>
      <c r="B89" s="460"/>
      <c r="C89" s="460"/>
      <c r="D89" s="460"/>
      <c r="E89" s="460"/>
      <c r="F89" s="460"/>
      <c r="G89" s="460"/>
      <c r="H89" s="195" t="s">
        <v>569</v>
      </c>
      <c r="I89" s="195" t="s">
        <v>570</v>
      </c>
      <c r="J89" s="202"/>
    </row>
    <row r="90" spans="1:16">
      <c r="A90" s="195" t="s">
        <v>542</v>
      </c>
      <c r="B90" s="425" t="s">
        <v>650</v>
      </c>
      <c r="C90" s="461"/>
      <c r="D90" s="461"/>
      <c r="E90" s="461"/>
      <c r="F90" s="461"/>
      <c r="G90" s="461"/>
      <c r="H90" s="204">
        <v>0</v>
      </c>
      <c r="I90" s="197">
        <v>0</v>
      </c>
      <c r="J90" s="202"/>
    </row>
    <row r="91" spans="1:16">
      <c r="A91" s="460" t="s">
        <v>651</v>
      </c>
      <c r="B91" s="460"/>
      <c r="C91" s="460"/>
      <c r="D91" s="460"/>
      <c r="E91" s="460"/>
      <c r="F91" s="460"/>
      <c r="G91" s="460"/>
      <c r="H91" s="206">
        <v>0</v>
      </c>
      <c r="I91" s="200">
        <v>0</v>
      </c>
      <c r="J91" s="202"/>
    </row>
    <row r="92" spans="1:16">
      <c r="A92" s="476"/>
      <c r="B92" s="477"/>
      <c r="C92" s="477"/>
      <c r="D92" s="477"/>
      <c r="E92" s="477"/>
      <c r="F92" s="477"/>
      <c r="G92" s="477"/>
      <c r="H92" s="477"/>
      <c r="I92" s="477"/>
      <c r="J92" s="202"/>
    </row>
    <row r="93" spans="1:16">
      <c r="A93" s="467" t="s">
        <v>652</v>
      </c>
      <c r="B93" s="467"/>
      <c r="C93" s="467"/>
      <c r="D93" s="467"/>
      <c r="E93" s="467"/>
      <c r="F93" s="467"/>
      <c r="G93" s="467"/>
      <c r="H93" s="467"/>
      <c r="I93" s="467"/>
      <c r="J93" s="202"/>
    </row>
    <row r="94" spans="1:16">
      <c r="A94" s="460" t="s">
        <v>653</v>
      </c>
      <c r="B94" s="460"/>
      <c r="C94" s="460"/>
      <c r="D94" s="460"/>
      <c r="E94" s="460"/>
      <c r="F94" s="460"/>
      <c r="G94" s="460"/>
      <c r="H94" s="460"/>
      <c r="I94" s="195" t="s">
        <v>570</v>
      </c>
      <c r="J94" s="202"/>
    </row>
    <row r="95" spans="1:16">
      <c r="A95" s="195" t="s">
        <v>654</v>
      </c>
      <c r="B95" s="461" t="s">
        <v>655</v>
      </c>
      <c r="C95" s="461"/>
      <c r="D95" s="461"/>
      <c r="E95" s="461"/>
      <c r="F95" s="461"/>
      <c r="G95" s="461"/>
      <c r="H95" s="461"/>
      <c r="I95" s="197">
        <f>I87</f>
        <v>82.34</v>
      </c>
      <c r="J95" s="202"/>
    </row>
    <row r="96" spans="1:16">
      <c r="A96" s="195" t="s">
        <v>656</v>
      </c>
      <c r="B96" s="461" t="s">
        <v>657</v>
      </c>
      <c r="C96" s="461"/>
      <c r="D96" s="461"/>
      <c r="E96" s="461"/>
      <c r="F96" s="461"/>
      <c r="G96" s="461"/>
      <c r="H96" s="461"/>
      <c r="I96" s="197">
        <f>I91</f>
        <v>0</v>
      </c>
      <c r="J96" s="202"/>
    </row>
    <row r="97" spans="1:12">
      <c r="A97" s="460" t="s">
        <v>658</v>
      </c>
      <c r="B97" s="460"/>
      <c r="C97" s="460"/>
      <c r="D97" s="460"/>
      <c r="E97" s="460"/>
      <c r="F97" s="460"/>
      <c r="G97" s="460"/>
      <c r="H97" s="460"/>
      <c r="I97" s="200">
        <f>SUM(I95:I96)</f>
        <v>82.34</v>
      </c>
      <c r="J97" s="202"/>
    </row>
    <row r="98" spans="1:12">
      <c r="A98" s="470"/>
      <c r="B98" s="471"/>
      <c r="C98" s="471"/>
      <c r="D98" s="471"/>
      <c r="E98" s="471"/>
      <c r="F98" s="471"/>
      <c r="G98" s="471"/>
      <c r="H98" s="471"/>
      <c r="I98" s="471"/>
      <c r="J98" s="202"/>
    </row>
    <row r="99" spans="1:12">
      <c r="A99" s="472" t="s">
        <v>659</v>
      </c>
      <c r="B99" s="472"/>
      <c r="C99" s="472"/>
      <c r="D99" s="472"/>
      <c r="E99" s="472"/>
      <c r="F99" s="472"/>
      <c r="G99" s="472"/>
      <c r="H99" s="472"/>
      <c r="I99" s="472"/>
      <c r="J99" s="202"/>
    </row>
    <row r="100" spans="1:12">
      <c r="A100" s="195">
        <v>5</v>
      </c>
      <c r="B100" s="460" t="s">
        <v>660</v>
      </c>
      <c r="C100" s="460"/>
      <c r="D100" s="460"/>
      <c r="E100" s="460"/>
      <c r="F100" s="460"/>
      <c r="G100" s="460"/>
      <c r="H100" s="195"/>
      <c r="I100" s="195" t="s">
        <v>570</v>
      </c>
      <c r="J100" s="202"/>
    </row>
    <row r="101" spans="1:12">
      <c r="A101" s="195" t="s">
        <v>542</v>
      </c>
      <c r="B101" s="473" t="s">
        <v>661</v>
      </c>
      <c r="C101" s="473"/>
      <c r="D101" s="473"/>
      <c r="E101" s="473"/>
      <c r="F101" s="473"/>
      <c r="G101" s="473"/>
      <c r="H101" s="193" t="s">
        <v>534</v>
      </c>
      <c r="I101" s="197">
        <f>Resumo!E15</f>
        <v>163.70000000000002</v>
      </c>
      <c r="J101" s="202"/>
    </row>
    <row r="102" spans="1:12">
      <c r="A102" s="195" t="s">
        <v>544</v>
      </c>
      <c r="B102" s="473" t="s">
        <v>662</v>
      </c>
      <c r="C102" s="473"/>
      <c r="D102" s="473"/>
      <c r="E102" s="473"/>
      <c r="F102" s="473"/>
      <c r="G102" s="473"/>
      <c r="H102" s="193" t="s">
        <v>534</v>
      </c>
      <c r="I102" s="197">
        <f>Resumo!F71</f>
        <v>11.918499999999998</v>
      </c>
      <c r="J102" s="202"/>
    </row>
    <row r="103" spans="1:12">
      <c r="A103" s="208" t="s">
        <v>547</v>
      </c>
      <c r="B103" s="473" t="s">
        <v>663</v>
      </c>
      <c r="C103" s="473"/>
      <c r="D103" s="473"/>
      <c r="E103" s="473"/>
      <c r="F103" s="473"/>
      <c r="G103" s="473"/>
      <c r="H103" s="193" t="s">
        <v>534</v>
      </c>
      <c r="I103" s="197">
        <f>Resumo!F43</f>
        <v>10.374354166666667</v>
      </c>
      <c r="J103" s="202"/>
    </row>
    <row r="104" spans="1:12">
      <c r="A104" s="208" t="s">
        <v>550</v>
      </c>
      <c r="B104" s="473" t="s">
        <v>580</v>
      </c>
      <c r="C104" s="473"/>
      <c r="D104" s="473"/>
      <c r="E104" s="473"/>
      <c r="F104" s="473"/>
      <c r="G104" s="473"/>
      <c r="H104" s="193" t="s">
        <v>534</v>
      </c>
      <c r="I104" s="197">
        <v>0</v>
      </c>
      <c r="J104" s="202"/>
    </row>
    <row r="105" spans="1:12">
      <c r="A105" s="460" t="s">
        <v>664</v>
      </c>
      <c r="B105" s="460"/>
      <c r="C105" s="460"/>
      <c r="D105" s="460"/>
      <c r="E105" s="460"/>
      <c r="F105" s="460"/>
      <c r="G105" s="460"/>
      <c r="H105" s="206" t="s">
        <v>534</v>
      </c>
      <c r="I105" s="200">
        <f>SUM(I101:I104)</f>
        <v>185.99285416666669</v>
      </c>
      <c r="J105" s="202"/>
      <c r="K105" s="207"/>
      <c r="L105" s="215"/>
    </row>
    <row r="106" spans="1:12">
      <c r="A106" s="470"/>
      <c r="B106" s="471"/>
      <c r="C106" s="471"/>
      <c r="D106" s="471"/>
      <c r="E106" s="471"/>
      <c r="F106" s="471"/>
      <c r="G106" s="471"/>
      <c r="H106" s="471"/>
      <c r="I106" s="471"/>
      <c r="J106" s="202"/>
    </row>
    <row r="107" spans="1:12">
      <c r="A107" s="472" t="s">
        <v>665</v>
      </c>
      <c r="B107" s="472"/>
      <c r="C107" s="472"/>
      <c r="D107" s="472"/>
      <c r="E107" s="472"/>
      <c r="F107" s="472"/>
      <c r="G107" s="472"/>
      <c r="H107" s="472"/>
      <c r="I107" s="472"/>
      <c r="J107" s="202"/>
    </row>
    <row r="108" spans="1:12">
      <c r="A108" s="195">
        <v>6</v>
      </c>
      <c r="B108" s="460" t="s">
        <v>666</v>
      </c>
      <c r="C108" s="460"/>
      <c r="D108" s="460"/>
      <c r="E108" s="460"/>
      <c r="F108" s="460"/>
      <c r="G108" s="460"/>
      <c r="H108" s="195" t="s">
        <v>569</v>
      </c>
      <c r="I108" s="195" t="s">
        <v>570</v>
      </c>
      <c r="J108" s="202"/>
    </row>
    <row r="109" spans="1:12">
      <c r="A109" s="195" t="s">
        <v>542</v>
      </c>
      <c r="B109" s="461" t="s">
        <v>667</v>
      </c>
      <c r="C109" s="461"/>
      <c r="D109" s="461"/>
      <c r="E109" s="461"/>
      <c r="F109" s="461"/>
      <c r="G109" s="461"/>
      <c r="H109" s="216">
        <v>0.06</v>
      </c>
      <c r="I109" s="197">
        <f>TRUNC((($I$35+$I$68+$I$77+$I$97+$I$105)*H109),2)</f>
        <v>427.13</v>
      </c>
      <c r="J109" s="202"/>
    </row>
    <row r="110" spans="1:12">
      <c r="A110" s="195" t="s">
        <v>544</v>
      </c>
      <c r="B110" s="461" t="s">
        <v>668</v>
      </c>
      <c r="C110" s="461"/>
      <c r="D110" s="461"/>
      <c r="E110" s="461"/>
      <c r="F110" s="461"/>
      <c r="G110" s="461"/>
      <c r="H110" s="216">
        <v>6.7900000000000002E-2</v>
      </c>
      <c r="I110" s="197">
        <f>TRUNC((($I$35+$I$68+$I$77+$I$97+$I$105+I109)*H110),2)</f>
        <v>512.37</v>
      </c>
      <c r="J110" s="202"/>
    </row>
    <row r="111" spans="1:12">
      <c r="A111" s="195" t="s">
        <v>547</v>
      </c>
      <c r="B111" s="468" t="s">
        <v>669</v>
      </c>
      <c r="C111" s="468"/>
      <c r="D111" s="468"/>
      <c r="E111" s="468"/>
      <c r="F111" s="468"/>
      <c r="G111" s="468"/>
      <c r="H111" s="198"/>
      <c r="I111" s="217"/>
      <c r="J111" s="202"/>
    </row>
    <row r="112" spans="1:12">
      <c r="A112" s="195" t="s">
        <v>670</v>
      </c>
      <c r="B112" s="461" t="s">
        <v>671</v>
      </c>
      <c r="C112" s="461"/>
      <c r="D112" s="461"/>
      <c r="E112" s="461"/>
      <c r="F112" s="461"/>
      <c r="G112" s="461"/>
      <c r="H112" s="218">
        <v>6.4999999999999997E-3</v>
      </c>
      <c r="I112" s="197">
        <f>TRUNC(H112*I122,2)</f>
        <v>57.33</v>
      </c>
      <c r="J112" s="202"/>
    </row>
    <row r="113" spans="1:10">
      <c r="A113" s="195" t="s">
        <v>672</v>
      </c>
      <c r="B113" s="461" t="s">
        <v>673</v>
      </c>
      <c r="C113" s="461"/>
      <c r="D113" s="461"/>
      <c r="E113" s="461"/>
      <c r="F113" s="461"/>
      <c r="G113" s="461"/>
      <c r="H113" s="218">
        <v>0.03</v>
      </c>
      <c r="I113" s="197">
        <f>TRUNC(H113*I122,2)</f>
        <v>264.64</v>
      </c>
      <c r="J113" s="202"/>
    </row>
    <row r="114" spans="1:10">
      <c r="A114" s="195" t="s">
        <v>674</v>
      </c>
      <c r="B114" s="461" t="s">
        <v>675</v>
      </c>
      <c r="C114" s="461"/>
      <c r="D114" s="461"/>
      <c r="E114" s="461"/>
      <c r="F114" s="461"/>
      <c r="G114" s="461"/>
      <c r="H114" s="218">
        <v>0.05</v>
      </c>
      <c r="I114" s="197">
        <f>TRUNC(H114*I122,2)</f>
        <v>441.07</v>
      </c>
      <c r="J114" s="219"/>
    </row>
    <row r="115" spans="1:10">
      <c r="A115" s="460" t="s">
        <v>676</v>
      </c>
      <c r="B115" s="460"/>
      <c r="C115" s="460"/>
      <c r="D115" s="460"/>
      <c r="E115" s="460"/>
      <c r="F115" s="460"/>
      <c r="G115" s="460"/>
      <c r="H115" s="218">
        <f>SUM(H109:H114)</f>
        <v>0.21440000000000003</v>
      </c>
      <c r="I115" s="200">
        <f>SUM(I109:I114)</f>
        <v>1702.54</v>
      </c>
      <c r="J115" s="202"/>
    </row>
    <row r="116" spans="1:10">
      <c r="A116" s="191"/>
      <c r="B116" s="469"/>
      <c r="C116" s="469"/>
      <c r="D116" s="469"/>
      <c r="E116" s="469"/>
      <c r="F116" s="469"/>
      <c r="G116" s="469"/>
      <c r="H116" s="469"/>
      <c r="I116" s="469"/>
      <c r="J116" s="190"/>
    </row>
    <row r="117" spans="1:10">
      <c r="A117" s="220" t="s">
        <v>677</v>
      </c>
      <c r="B117" s="464" t="s">
        <v>678</v>
      </c>
      <c r="C117" s="464"/>
      <c r="D117" s="464"/>
      <c r="E117" s="464"/>
      <c r="F117" s="464"/>
      <c r="G117" s="464"/>
      <c r="H117" s="221">
        <f>H112+H113+H114</f>
        <v>8.6499999999999994E-2</v>
      </c>
      <c r="I117" s="222"/>
      <c r="J117" s="190"/>
    </row>
    <row r="118" spans="1:10">
      <c r="A118" s="223"/>
      <c r="B118" s="465">
        <v>100</v>
      </c>
      <c r="C118" s="465"/>
      <c r="D118" s="465"/>
      <c r="E118" s="465"/>
      <c r="F118" s="465"/>
      <c r="G118" s="465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5" t="s">
        <v>680</v>
      </c>
      <c r="C120" s="465"/>
      <c r="D120" s="465"/>
      <c r="E120" s="465"/>
      <c r="F120" s="465"/>
      <c r="G120" s="465"/>
      <c r="H120" s="225"/>
      <c r="I120" s="226">
        <f>I35+I68+I77+I97+I105+I109+I110</f>
        <v>8058.3628541666667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5" t="s">
        <v>682</v>
      </c>
      <c r="C122" s="465"/>
      <c r="D122" s="465"/>
      <c r="E122" s="465"/>
      <c r="F122" s="465"/>
      <c r="G122" s="465"/>
      <c r="H122" s="225"/>
      <c r="I122" s="226">
        <f>TRUNC(I120/(1-H117),2)</f>
        <v>8821.41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66" t="s">
        <v>683</v>
      </c>
      <c r="C124" s="466"/>
      <c r="D124" s="466"/>
      <c r="E124" s="466"/>
      <c r="F124" s="466"/>
      <c r="G124" s="466"/>
      <c r="H124" s="229"/>
      <c r="I124" s="230">
        <f>I122-I120</f>
        <v>763.04714583333316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67" t="s">
        <v>684</v>
      </c>
      <c r="B126" s="467"/>
      <c r="C126" s="467"/>
      <c r="D126" s="467"/>
      <c r="E126" s="467"/>
      <c r="F126" s="467"/>
      <c r="G126" s="467"/>
      <c r="H126" s="467"/>
      <c r="I126" s="467"/>
      <c r="J126" s="190"/>
    </row>
    <row r="127" spans="1:10">
      <c r="A127" s="460" t="s">
        <v>685</v>
      </c>
      <c r="B127" s="460"/>
      <c r="C127" s="460"/>
      <c r="D127" s="460"/>
      <c r="E127" s="460"/>
      <c r="F127" s="460"/>
      <c r="G127" s="460"/>
      <c r="H127" s="460"/>
      <c r="I127" s="195" t="s">
        <v>570</v>
      </c>
      <c r="J127" s="190"/>
    </row>
    <row r="128" spans="1:10">
      <c r="A128" s="193" t="s">
        <v>542</v>
      </c>
      <c r="B128" s="461" t="s">
        <v>567</v>
      </c>
      <c r="C128" s="461"/>
      <c r="D128" s="461"/>
      <c r="E128" s="461"/>
      <c r="F128" s="461"/>
      <c r="G128" s="461"/>
      <c r="H128" s="461"/>
      <c r="I128" s="197">
        <f>I35</f>
        <v>3540.43</v>
      </c>
    </row>
    <row r="129" spans="1:9">
      <c r="A129" s="193" t="s">
        <v>544</v>
      </c>
      <c r="B129" s="461" t="s">
        <v>582</v>
      </c>
      <c r="C129" s="461"/>
      <c r="D129" s="461"/>
      <c r="E129" s="461"/>
      <c r="F129" s="461"/>
      <c r="G129" s="461"/>
      <c r="H129" s="461"/>
      <c r="I129" s="197">
        <f>I68</f>
        <v>3056.8100000000004</v>
      </c>
    </row>
    <row r="130" spans="1:9">
      <c r="A130" s="193" t="s">
        <v>547</v>
      </c>
      <c r="B130" s="461" t="s">
        <v>632</v>
      </c>
      <c r="C130" s="461"/>
      <c r="D130" s="461"/>
      <c r="E130" s="461"/>
      <c r="F130" s="461"/>
      <c r="G130" s="461"/>
      <c r="H130" s="461"/>
      <c r="I130" s="197">
        <f>I77</f>
        <v>253.29000000000002</v>
      </c>
    </row>
    <row r="131" spans="1:9">
      <c r="A131" s="193" t="s">
        <v>550</v>
      </c>
      <c r="B131" s="461" t="s">
        <v>640</v>
      </c>
      <c r="C131" s="461"/>
      <c r="D131" s="461"/>
      <c r="E131" s="461"/>
      <c r="F131" s="461"/>
      <c r="G131" s="461"/>
      <c r="H131" s="461"/>
      <c r="I131" s="197">
        <f>I97</f>
        <v>82.34</v>
      </c>
    </row>
    <row r="132" spans="1:9">
      <c r="A132" s="193" t="s">
        <v>577</v>
      </c>
      <c r="B132" s="461" t="s">
        <v>659</v>
      </c>
      <c r="C132" s="461"/>
      <c r="D132" s="461"/>
      <c r="E132" s="461"/>
      <c r="F132" s="461"/>
      <c r="G132" s="461"/>
      <c r="H132" s="461"/>
      <c r="I132" s="197">
        <f>I105</f>
        <v>185.99285416666669</v>
      </c>
    </row>
    <row r="133" spans="1:9">
      <c r="A133" s="195"/>
      <c r="B133" s="460" t="s">
        <v>686</v>
      </c>
      <c r="C133" s="460"/>
      <c r="D133" s="460"/>
      <c r="E133" s="460"/>
      <c r="F133" s="460"/>
      <c r="G133" s="460"/>
      <c r="H133" s="460"/>
      <c r="I133" s="200">
        <f>SUM(I128:I132)</f>
        <v>7118.8628541666667</v>
      </c>
    </row>
    <row r="134" spans="1:9">
      <c r="A134" s="193" t="s">
        <v>579</v>
      </c>
      <c r="B134" s="461" t="s">
        <v>665</v>
      </c>
      <c r="C134" s="461"/>
      <c r="D134" s="461"/>
      <c r="E134" s="461"/>
      <c r="F134" s="461"/>
      <c r="G134" s="461"/>
      <c r="H134" s="461"/>
      <c r="I134" s="197">
        <f>I115</f>
        <v>1702.54</v>
      </c>
    </row>
    <row r="135" spans="1:9">
      <c r="A135" s="460" t="s">
        <v>687</v>
      </c>
      <c r="B135" s="460"/>
      <c r="C135" s="460"/>
      <c r="D135" s="460"/>
      <c r="E135" s="460"/>
      <c r="F135" s="460"/>
      <c r="G135" s="460"/>
      <c r="H135" s="460"/>
      <c r="I135" s="200">
        <f>I133+I134</f>
        <v>8821.4028541666667</v>
      </c>
    </row>
    <row r="136" spans="1:9">
      <c r="A136" s="460" t="s">
        <v>688</v>
      </c>
      <c r="B136" s="460"/>
      <c r="C136" s="460"/>
      <c r="D136" s="460"/>
      <c r="E136" s="460"/>
      <c r="F136" s="460"/>
      <c r="G136" s="460"/>
      <c r="H136" s="460"/>
      <c r="I136" s="254">
        <f>TRUNC(I135*2,2)</f>
        <v>17642.8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9" t="s">
        <v>689</v>
      </c>
      <c r="C138" s="429"/>
      <c r="D138" s="429"/>
      <c r="E138" s="429"/>
      <c r="F138" s="429"/>
      <c r="G138" s="429"/>
      <c r="H138" s="192"/>
      <c r="I138" s="192"/>
    </row>
    <row r="139" spans="1:9" ht="64.5" hidden="1" thickBot="1">
      <c r="A139" s="462" t="s">
        <v>690</v>
      </c>
      <c r="B139" s="463"/>
      <c r="C139" s="462" t="s">
        <v>691</v>
      </c>
      <c r="D139" s="463"/>
      <c r="E139" s="462" t="s">
        <v>692</v>
      </c>
      <c r="F139" s="463"/>
      <c r="G139" s="231" t="s">
        <v>693</v>
      </c>
      <c r="H139" s="232" t="s">
        <v>694</v>
      </c>
      <c r="I139" s="233" t="s">
        <v>570</v>
      </c>
    </row>
    <row r="140" spans="1:9" hidden="1">
      <c r="A140" s="454" t="s">
        <v>695</v>
      </c>
      <c r="B140" s="455"/>
      <c r="C140" s="456" t="s">
        <v>478</v>
      </c>
      <c r="D140" s="457"/>
      <c r="E140" s="458"/>
      <c r="F140" s="459"/>
      <c r="G140" s="235" t="s">
        <v>478</v>
      </c>
      <c r="H140" s="236"/>
      <c r="I140" s="237">
        <v>0</v>
      </c>
    </row>
    <row r="141" spans="1:9" hidden="1">
      <c r="A141" s="450" t="s">
        <v>696</v>
      </c>
      <c r="B141" s="451"/>
      <c r="C141" s="452" t="s">
        <v>478</v>
      </c>
      <c r="D141" s="453"/>
      <c r="E141" s="444"/>
      <c r="F141" s="445"/>
      <c r="G141" s="211" t="s">
        <v>478</v>
      </c>
      <c r="H141" s="239"/>
      <c r="I141" s="240">
        <v>0</v>
      </c>
    </row>
    <row r="142" spans="1:9" hidden="1">
      <c r="A142" s="450" t="s">
        <v>697</v>
      </c>
      <c r="B142" s="451"/>
      <c r="C142" s="452" t="s">
        <v>478</v>
      </c>
      <c r="D142" s="453"/>
      <c r="E142" s="444"/>
      <c r="F142" s="445"/>
      <c r="G142" s="211" t="s">
        <v>478</v>
      </c>
      <c r="H142" s="239"/>
      <c r="I142" s="240">
        <v>0</v>
      </c>
    </row>
    <row r="143" spans="1:9" hidden="1">
      <c r="A143" s="450" t="s">
        <v>698</v>
      </c>
      <c r="B143" s="451"/>
      <c r="C143" s="452" t="s">
        <v>478</v>
      </c>
      <c r="D143" s="453"/>
      <c r="E143" s="444"/>
      <c r="F143" s="445"/>
      <c r="G143" s="211" t="s">
        <v>478</v>
      </c>
      <c r="H143" s="239"/>
      <c r="I143" s="240">
        <v>0</v>
      </c>
    </row>
    <row r="144" spans="1:9" hidden="1">
      <c r="A144" s="442"/>
      <c r="B144" s="443"/>
      <c r="C144" s="444"/>
      <c r="D144" s="445"/>
      <c r="E144" s="444"/>
      <c r="F144" s="445"/>
      <c r="G144" s="241"/>
      <c r="H144" s="242"/>
      <c r="I144" s="240"/>
    </row>
    <row r="145" spans="1:9" ht="15.75" hidden="1" thickBot="1">
      <c r="A145" s="446"/>
      <c r="B145" s="447"/>
      <c r="C145" s="448"/>
      <c r="D145" s="449"/>
      <c r="E145" s="448"/>
      <c r="F145" s="449"/>
      <c r="G145" s="243"/>
      <c r="H145" s="244"/>
      <c r="I145" s="245"/>
    </row>
    <row r="146" spans="1:9" ht="15.75" hidden="1" thickBot="1">
      <c r="A146" s="426" t="s">
        <v>699</v>
      </c>
      <c r="B146" s="427"/>
      <c r="C146" s="427"/>
      <c r="D146" s="427"/>
      <c r="E146" s="427"/>
      <c r="F146" s="427"/>
      <c r="G146" s="427"/>
      <c r="H146" s="42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9" t="s">
        <v>701</v>
      </c>
      <c r="C148" s="429"/>
      <c r="D148" s="429"/>
      <c r="E148" s="429"/>
      <c r="F148" s="429"/>
      <c r="G148" s="429"/>
      <c r="H148" s="192"/>
      <c r="I148" s="192"/>
    </row>
    <row r="149" spans="1:9" ht="15.75" hidden="1" thickBot="1">
      <c r="A149" s="430" t="s">
        <v>702</v>
      </c>
      <c r="B149" s="431"/>
      <c r="C149" s="431"/>
      <c r="D149" s="431"/>
      <c r="E149" s="431"/>
      <c r="F149" s="431"/>
      <c r="G149" s="431"/>
      <c r="H149" s="431"/>
      <c r="I149" s="432"/>
    </row>
    <row r="150" spans="1:9" ht="15.75" hidden="1" thickBot="1">
      <c r="A150" s="247"/>
      <c r="B150" s="433" t="s">
        <v>703</v>
      </c>
      <c r="C150" s="434"/>
      <c r="D150" s="434"/>
      <c r="E150" s="434"/>
      <c r="F150" s="434"/>
      <c r="G150" s="434"/>
      <c r="H150" s="435"/>
      <c r="I150" s="233" t="s">
        <v>570</v>
      </c>
    </row>
    <row r="151" spans="1:9" hidden="1">
      <c r="A151" s="234" t="s">
        <v>542</v>
      </c>
      <c r="B151" s="436" t="s">
        <v>704</v>
      </c>
      <c r="C151" s="437"/>
      <c r="D151" s="437"/>
      <c r="E151" s="437"/>
      <c r="F151" s="437"/>
      <c r="G151" s="437"/>
      <c r="H151" s="438"/>
      <c r="I151" s="248">
        <v>115.15</v>
      </c>
    </row>
    <row r="152" spans="1:9" hidden="1">
      <c r="A152" s="238" t="s">
        <v>544</v>
      </c>
      <c r="B152" s="439" t="s">
        <v>705</v>
      </c>
      <c r="C152" s="440"/>
      <c r="D152" s="440"/>
      <c r="E152" s="440"/>
      <c r="F152" s="440"/>
      <c r="G152" s="440"/>
      <c r="H152" s="441"/>
      <c r="I152" s="249" t="e">
        <v>#REF!</v>
      </c>
    </row>
    <row r="153" spans="1:9" ht="15.75" hidden="1" thickBot="1">
      <c r="A153" s="238" t="s">
        <v>547</v>
      </c>
      <c r="B153" s="418" t="s">
        <v>706</v>
      </c>
      <c r="C153" s="419"/>
      <c r="D153" s="419"/>
      <c r="E153" s="419"/>
      <c r="F153" s="419"/>
      <c r="G153" s="419"/>
      <c r="H153" s="420"/>
      <c r="I153" s="249">
        <v>1641.84</v>
      </c>
    </row>
    <row r="154" spans="1:9" ht="15.75" hidden="1" thickBot="1">
      <c r="A154" s="421" t="s">
        <v>707</v>
      </c>
      <c r="B154" s="422"/>
      <c r="C154" s="422"/>
      <c r="D154" s="422"/>
      <c r="E154" s="422"/>
      <c r="F154" s="422"/>
      <c r="G154" s="422"/>
      <c r="H154" s="423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24" t="s">
        <v>710</v>
      </c>
      <c r="B158" s="424"/>
      <c r="C158" s="424"/>
      <c r="D158" s="424"/>
      <c r="E158" s="424"/>
      <c r="F158" s="424"/>
      <c r="G158" s="424"/>
      <c r="H158" s="424"/>
      <c r="I158" s="250">
        <f>I135/I35</f>
        <v>2.4916190559244686</v>
      </c>
    </row>
    <row r="159" spans="1:9" ht="31.5" customHeight="1">
      <c r="A159" s="425" t="s">
        <v>711</v>
      </c>
      <c r="B159" s="425"/>
      <c r="C159" s="425"/>
      <c r="D159" s="425"/>
      <c r="E159" s="425"/>
      <c r="F159" s="425"/>
      <c r="G159" s="425"/>
      <c r="H159" s="425"/>
      <c r="I159" s="425"/>
    </row>
    <row r="160" spans="1:9" ht="63" customHeight="1">
      <c r="A160" s="425" t="s">
        <v>712</v>
      </c>
      <c r="B160" s="425"/>
      <c r="C160" s="425"/>
      <c r="D160" s="425"/>
      <c r="E160" s="425"/>
      <c r="F160" s="425"/>
      <c r="G160" s="425"/>
      <c r="H160" s="425"/>
      <c r="I160" s="425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1"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  <mergeCell ref="E143:F143"/>
    <mergeCell ref="B153:H153"/>
    <mergeCell ref="A154:H154"/>
    <mergeCell ref="A158:H158"/>
    <mergeCell ref="A159:I159"/>
    <mergeCell ref="A160:I160"/>
    <mergeCell ref="A146:H146"/>
    <mergeCell ref="B148:G148"/>
    <mergeCell ref="A149:I149"/>
    <mergeCell ref="B150:H150"/>
    <mergeCell ref="B151:H151"/>
    <mergeCell ref="B152:H152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73FD5-FD48-40E2-B344-49233F729F4A}">
  <dimension ref="A1:F9"/>
  <sheetViews>
    <sheetView tabSelected="1" workbookViewId="0">
      <selection activeCell="A9" sqref="A9:XFD9"/>
    </sheetView>
  </sheetViews>
  <sheetFormatPr defaultRowHeight="15"/>
  <cols>
    <col min="2" max="2" width="75.7109375" customWidth="1"/>
    <col min="3" max="3" width="16.85546875" hidden="1" customWidth="1"/>
    <col min="4" max="4" width="14.5703125" bestFit="1" customWidth="1"/>
    <col min="6" max="6" width="15" customWidth="1"/>
  </cols>
  <sheetData>
    <row r="1" spans="1:6">
      <c r="A1" s="255" t="s">
        <v>729</v>
      </c>
      <c r="B1" s="255" t="s">
        <v>703</v>
      </c>
      <c r="C1" s="255" t="s">
        <v>730</v>
      </c>
      <c r="D1" s="255" t="s">
        <v>737</v>
      </c>
      <c r="E1" s="255" t="s">
        <v>731</v>
      </c>
      <c r="F1" s="255" t="s">
        <v>738</v>
      </c>
    </row>
    <row r="2" spans="1:6">
      <c r="A2" s="255">
        <v>1</v>
      </c>
      <c r="B2" s="257" t="s">
        <v>732</v>
      </c>
      <c r="C2" s="255" t="s">
        <v>557</v>
      </c>
      <c r="D2" s="256">
        <f>'Sed Diu Des seg_sex'!I136</f>
        <v>17642.8</v>
      </c>
      <c r="E2" s="255">
        <v>1</v>
      </c>
      <c r="F2" s="256">
        <f>E2*D2</f>
        <v>17642.8</v>
      </c>
    </row>
    <row r="3" spans="1:6">
      <c r="A3" s="255">
        <v>2</v>
      </c>
      <c r="B3" s="257" t="s">
        <v>733</v>
      </c>
      <c r="C3" s="255" t="s">
        <v>557</v>
      </c>
      <c r="D3" s="256">
        <f>'Sed Diu Des'!I136</f>
        <v>18212.099999999999</v>
      </c>
      <c r="E3" s="255">
        <v>2</v>
      </c>
      <c r="F3" s="256">
        <f t="shared" ref="F3:F6" si="0">E3*D3</f>
        <v>36424.199999999997</v>
      </c>
    </row>
    <row r="4" spans="1:6">
      <c r="A4" s="255">
        <v>3</v>
      </c>
      <c r="B4" s="257" t="s">
        <v>734</v>
      </c>
      <c r="C4" s="255" t="s">
        <v>557</v>
      </c>
      <c r="D4" s="256">
        <f>'Sed Not Des'!I136</f>
        <v>19879.740000000002</v>
      </c>
      <c r="E4" s="255">
        <v>1</v>
      </c>
      <c r="F4" s="256">
        <f t="shared" si="0"/>
        <v>19879.740000000002</v>
      </c>
    </row>
    <row r="5" spans="1:6">
      <c r="A5" s="255">
        <v>4</v>
      </c>
      <c r="B5" s="257" t="s">
        <v>735</v>
      </c>
      <c r="C5" s="255" t="s">
        <v>557</v>
      </c>
      <c r="D5" s="256">
        <f>'CT Diu Arm'!I136</f>
        <v>18381.12</v>
      </c>
      <c r="E5" s="255">
        <v>2</v>
      </c>
      <c r="F5" s="256">
        <f t="shared" si="0"/>
        <v>36762.239999999998</v>
      </c>
    </row>
    <row r="6" spans="1:6">
      <c r="A6" s="255">
        <v>5</v>
      </c>
      <c r="B6" s="257" t="s">
        <v>736</v>
      </c>
      <c r="C6" s="255" t="s">
        <v>557</v>
      </c>
      <c r="D6" s="256">
        <f>'CT Not Arm'!I136</f>
        <v>20252.900000000001</v>
      </c>
      <c r="E6" s="255">
        <v>2</v>
      </c>
      <c r="F6" s="256">
        <f t="shared" si="0"/>
        <v>40505.800000000003</v>
      </c>
    </row>
    <row r="7" spans="1:6">
      <c r="A7" s="511" t="s">
        <v>740</v>
      </c>
      <c r="B7" s="511"/>
      <c r="C7" s="511"/>
      <c r="D7" s="511"/>
      <c r="E7" s="511"/>
      <c r="F7" s="256">
        <f>SUM(F2:F6)</f>
        <v>151214.78000000003</v>
      </c>
    </row>
    <row r="8" spans="1:6">
      <c r="A8" s="511" t="s">
        <v>741</v>
      </c>
      <c r="B8" s="511"/>
      <c r="C8" s="511"/>
      <c r="D8" s="511"/>
      <c r="E8" s="511"/>
      <c r="F8" s="256">
        <f>F7*12</f>
        <v>1814577.3600000003</v>
      </c>
    </row>
    <row r="9" spans="1:6" hidden="1">
      <c r="E9" s="258" t="s">
        <v>739</v>
      </c>
      <c r="F9" s="259">
        <v>129218</v>
      </c>
    </row>
  </sheetData>
  <mergeCells count="2">
    <mergeCell ref="A7:E7"/>
    <mergeCell ref="A8:E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7BE38-E4C5-470B-B64D-9883DF40759A}">
  <dimension ref="A1:R56"/>
  <sheetViews>
    <sheetView workbookViewId="0">
      <selection activeCell="A3" sqref="A3"/>
    </sheetView>
  </sheetViews>
  <sheetFormatPr defaultColWidth="9.140625" defaultRowHeight="14.25"/>
  <cols>
    <col min="1" max="1" width="5.5703125" style="123" bestFit="1" customWidth="1"/>
    <col min="2" max="2" width="5.42578125" style="123" bestFit="1" customWidth="1"/>
    <col min="3" max="3" width="4.5703125" style="124" customWidth="1"/>
    <col min="4" max="4" width="12.28515625" style="137" customWidth="1"/>
    <col min="5" max="5" width="4.85546875" style="137" customWidth="1"/>
    <col min="6" max="6" width="8.5703125" style="137" customWidth="1"/>
    <col min="7" max="7" width="62.5703125" style="123" customWidth="1"/>
    <col min="8" max="8" width="66.140625" style="124" customWidth="1"/>
    <col min="9" max="9" width="7.85546875" style="124" customWidth="1"/>
    <col min="10" max="10" width="8" style="124" customWidth="1"/>
    <col min="11" max="11" width="4.85546875" style="124" bestFit="1" customWidth="1"/>
    <col min="12" max="12" width="7.42578125" style="124" bestFit="1" customWidth="1"/>
    <col min="13" max="13" width="13.28515625" style="124" customWidth="1"/>
    <col min="14" max="14" width="8.42578125" style="124" customWidth="1"/>
    <col min="15" max="15" width="2.5703125" style="124" customWidth="1"/>
    <col min="16" max="16" width="13.7109375" style="123" customWidth="1"/>
    <col min="17" max="17" width="1.7109375" style="126" customWidth="1"/>
    <col min="18" max="16384" width="9.140625" style="126"/>
  </cols>
  <sheetData>
    <row r="1" spans="1:18" ht="33" customHeight="1">
      <c r="A1" s="365"/>
      <c r="B1" s="365"/>
      <c r="C1" s="365"/>
      <c r="D1" s="365"/>
      <c r="E1" s="366"/>
      <c r="F1" s="367" t="s">
        <v>0</v>
      </c>
      <c r="G1" s="368"/>
      <c r="H1" s="369"/>
      <c r="I1" s="370" t="s">
        <v>1</v>
      </c>
      <c r="J1" s="371"/>
      <c r="K1" s="371"/>
      <c r="L1" s="371"/>
      <c r="M1" s="371"/>
      <c r="N1" s="372"/>
      <c r="P1" s="125"/>
    </row>
    <row r="2" spans="1:18">
      <c r="C2" s="127"/>
      <c r="D2" s="128"/>
      <c r="E2" s="128"/>
      <c r="F2" s="128"/>
      <c r="G2" s="129"/>
      <c r="H2" s="130"/>
      <c r="I2" s="131"/>
      <c r="J2" s="132"/>
      <c r="K2" s="133"/>
      <c r="L2" s="133"/>
      <c r="M2" s="134"/>
      <c r="N2" s="134"/>
      <c r="P2" s="135"/>
      <c r="Q2" s="136"/>
      <c r="R2" s="136"/>
    </row>
    <row r="3" spans="1:18">
      <c r="P3" s="135"/>
      <c r="Q3" s="136"/>
      <c r="R3" s="136"/>
    </row>
    <row r="4" spans="1:18">
      <c r="A4" s="319" t="s">
        <v>2</v>
      </c>
      <c r="B4" s="320"/>
      <c r="C4" s="320"/>
      <c r="D4" s="320"/>
      <c r="E4" s="321"/>
      <c r="F4" s="319" t="s">
        <v>3</v>
      </c>
      <c r="G4" s="320"/>
      <c r="H4" s="320"/>
      <c r="I4" s="319" t="s">
        <v>4</v>
      </c>
      <c r="J4" s="320"/>
      <c r="K4" s="320"/>
      <c r="L4" s="321"/>
      <c r="M4" s="319" t="s">
        <v>5</v>
      </c>
      <c r="N4" s="321"/>
      <c r="P4" s="135"/>
      <c r="Q4" s="136"/>
      <c r="R4" s="136"/>
    </row>
    <row r="5" spans="1:18">
      <c r="A5" s="322"/>
      <c r="B5" s="323"/>
      <c r="C5" s="323"/>
      <c r="D5" s="323"/>
      <c r="E5" s="324"/>
      <c r="F5" s="328" t="s">
        <v>250</v>
      </c>
      <c r="G5" s="329"/>
      <c r="H5" s="329"/>
      <c r="I5" s="332" t="s">
        <v>7</v>
      </c>
      <c r="J5" s="333"/>
      <c r="K5" s="333"/>
      <c r="L5" s="334"/>
      <c r="M5" s="335" t="s">
        <v>8</v>
      </c>
      <c r="N5" s="337"/>
      <c r="P5" s="135"/>
      <c r="Q5" s="136"/>
      <c r="R5" s="136"/>
    </row>
    <row r="6" spans="1:18">
      <c r="A6" s="325"/>
      <c r="B6" s="326"/>
      <c r="C6" s="326"/>
      <c r="D6" s="326"/>
      <c r="E6" s="327"/>
      <c r="F6" s="330"/>
      <c r="G6" s="331"/>
      <c r="H6" s="331"/>
      <c r="I6" s="335"/>
      <c r="J6" s="336"/>
      <c r="K6" s="336"/>
      <c r="L6" s="337"/>
      <c r="M6" s="338" t="s">
        <v>9</v>
      </c>
      <c r="N6" s="339"/>
      <c r="P6" s="135"/>
      <c r="Q6" s="136"/>
      <c r="R6" s="136"/>
    </row>
    <row r="7" spans="1:18" ht="22.5">
      <c r="A7" s="138" t="s">
        <v>10</v>
      </c>
      <c r="B7" s="138" t="s">
        <v>11</v>
      </c>
      <c r="C7" s="138" t="s">
        <v>12</v>
      </c>
      <c r="D7" s="139" t="s">
        <v>13</v>
      </c>
      <c r="E7" s="343" t="s">
        <v>14</v>
      </c>
      <c r="F7" s="343"/>
      <c r="G7" s="140" t="s">
        <v>15</v>
      </c>
      <c r="H7" s="140" t="s">
        <v>16</v>
      </c>
      <c r="I7" s="141" t="s">
        <v>17</v>
      </c>
      <c r="J7" s="138" t="s">
        <v>18</v>
      </c>
      <c r="K7" s="138"/>
      <c r="L7" s="138" t="s">
        <v>19</v>
      </c>
      <c r="M7" s="138" t="s">
        <v>20</v>
      </c>
      <c r="N7" s="138" t="s">
        <v>21</v>
      </c>
      <c r="P7" s="135"/>
      <c r="Q7" s="136"/>
      <c r="R7" s="136"/>
    </row>
    <row r="8" spans="1:18" ht="13.5" customHeight="1">
      <c r="A8" s="344"/>
      <c r="B8" s="344">
        <v>16</v>
      </c>
      <c r="C8" s="342"/>
      <c r="D8" s="84" t="s">
        <v>251</v>
      </c>
      <c r="E8" s="363">
        <v>45631</v>
      </c>
      <c r="F8" s="364"/>
      <c r="G8" s="85" t="s">
        <v>252</v>
      </c>
      <c r="H8" s="84" t="s">
        <v>253</v>
      </c>
      <c r="I8" s="142">
        <v>800</v>
      </c>
      <c r="J8" s="143">
        <f t="shared" ref="J8:J14" si="0">IF(AND((STDEV(I$8:I$14)/AVERAGE(I$8:I$14))&lt;=0.25,ISNUMBER(I8)),I8,IF(AND(I8&lt;=(AVERAGE(I$8:I$14)+STDEV(I$8:I$14)),I8&gt;=(AVERAGE(I$8:I$14)-STDEV(I$8:I$14)),ISNUMBER(I8)),I8,""))</f>
        <v>800</v>
      </c>
      <c r="K8" s="144" t="str">
        <f>IF(I8="","",IF(AND(COUNT(I$8:I$14)=1,ISNUMBER(I8)),"Sim",IF(AND((STDEV(J$8:J$14)/AVERAGE(J$8:J$14))&lt;0.25,ISNUMBER(J8)),"Sim",IF(AND(J8&lt;=(AVERAGE(J$8:J$14)+STDEV(J$8:J$14)),J8&gt;=(AVERAGE(J$8:J$14)-STDEV(J$8:J$14)),ISNUMBER(J8)),"Sim","Não"))))</f>
        <v>Sim</v>
      </c>
      <c r="L8" s="144">
        <f>IF(K8="Sim",J8,"")</f>
        <v>800</v>
      </c>
      <c r="M8" s="340">
        <f>IF(I8="","",ROUND(IF(COUNT(I8:I14)=1,I8,IF((COUNT(L8:L14)&lt;3),MIN(L8:L14),AVERAGE(L8:L14))),2))</f>
        <v>790.7</v>
      </c>
      <c r="N8" s="341">
        <f>IF(M8="","",C8*M8)</f>
        <v>0</v>
      </c>
      <c r="P8" s="135"/>
      <c r="Q8" s="136"/>
      <c r="R8" s="136"/>
    </row>
    <row r="9" spans="1:18" ht="15" customHeight="1">
      <c r="A9" s="344"/>
      <c r="B9" s="344"/>
      <c r="C9" s="342"/>
      <c r="D9" s="84" t="s">
        <v>254</v>
      </c>
      <c r="E9" s="363">
        <v>45643</v>
      </c>
      <c r="F9" s="364"/>
      <c r="G9" s="85" t="s">
        <v>255</v>
      </c>
      <c r="H9" s="84" t="s">
        <v>256</v>
      </c>
      <c r="I9" s="142">
        <v>599</v>
      </c>
      <c r="J9" s="143">
        <f t="shared" si="0"/>
        <v>599</v>
      </c>
      <c r="K9" s="144" t="str">
        <f>IF(I9="","",IF(AND(COUNT(I$8:I$14)=1,ISNUMBER(I9)),"Sim",IF(AND((STDEV(J$8:J$14)/AVERAGE(J$8:J$14))&lt;0.25,ISNUMBER(J9)),"Sim",IF(AND(J9&lt;=(AVERAGE(J$8:J$14)+STDEV(J$8:J$14)),J9&gt;=(AVERAGE(J$8:J$14)-STDEV(J$8:J$14)),ISNUMBER(J9)),"Sim","Não"))))</f>
        <v>Sim</v>
      </c>
      <c r="L9" s="144">
        <f t="shared" ref="L9:L14" si="1">IF(K9="Sim",J9,"")</f>
        <v>599</v>
      </c>
      <c r="M9" s="340"/>
      <c r="N9" s="341"/>
      <c r="P9" s="135"/>
      <c r="Q9" s="136"/>
      <c r="R9" s="136"/>
    </row>
    <row r="10" spans="1:18">
      <c r="A10" s="344"/>
      <c r="B10" s="344"/>
      <c r="C10" s="342"/>
      <c r="D10" s="145" t="s">
        <v>32</v>
      </c>
      <c r="E10" s="286">
        <v>45807</v>
      </c>
      <c r="F10" s="287"/>
      <c r="G10" s="171" t="s">
        <v>257</v>
      </c>
      <c r="H10" s="84" t="s">
        <v>258</v>
      </c>
      <c r="I10" s="142">
        <v>887</v>
      </c>
      <c r="J10" s="143">
        <f t="shared" si="0"/>
        <v>887</v>
      </c>
      <c r="K10" s="144" t="str">
        <f t="shared" ref="K10:K14" si="2">IF(I10="","",IF(AND(COUNT(I$8:I$14)=1,ISNUMBER(I10)),"Sim",IF(AND((STDEV(J$8:J$14)/AVERAGE(J$8:J$14))&lt;0.25,ISNUMBER(J10)),"Sim",IF(AND(J10&lt;=(AVERAGE(J$8:J$14)+STDEV(J$8:J$14)),J10&gt;=(AVERAGE(J$8:J$14)-STDEV(J$8:J$14)),ISNUMBER(J10)),"Sim","Não"))))</f>
        <v>Sim</v>
      </c>
      <c r="L10" s="144">
        <f t="shared" si="1"/>
        <v>887</v>
      </c>
      <c r="M10" s="340"/>
      <c r="N10" s="341"/>
      <c r="P10" s="135"/>
      <c r="Q10" s="136"/>
      <c r="R10" s="136"/>
    </row>
    <row r="11" spans="1:18">
      <c r="A11" s="344"/>
      <c r="B11" s="344"/>
      <c r="C11" s="342"/>
      <c r="D11" s="145" t="s">
        <v>32</v>
      </c>
      <c r="E11" s="286">
        <v>45807</v>
      </c>
      <c r="F11" s="287"/>
      <c r="G11" s="146" t="s">
        <v>259</v>
      </c>
      <c r="H11" s="84" t="s">
        <v>260</v>
      </c>
      <c r="I11" s="142">
        <v>750</v>
      </c>
      <c r="J11" s="143">
        <f t="shared" si="0"/>
        <v>750</v>
      </c>
      <c r="K11" s="144" t="str">
        <f t="shared" si="2"/>
        <v>Sim</v>
      </c>
      <c r="L11" s="144">
        <f t="shared" si="1"/>
        <v>750</v>
      </c>
      <c r="M11" s="340"/>
      <c r="N11" s="341"/>
      <c r="P11" s="135"/>
      <c r="Q11" s="136"/>
      <c r="R11" s="136"/>
    </row>
    <row r="12" spans="1:18">
      <c r="A12" s="344"/>
      <c r="B12" s="344"/>
      <c r="C12" s="342"/>
      <c r="D12" s="145" t="s">
        <v>32</v>
      </c>
      <c r="E12" s="286">
        <v>45807</v>
      </c>
      <c r="F12" s="287"/>
      <c r="G12" s="171" t="s">
        <v>261</v>
      </c>
      <c r="H12" s="84" t="s">
        <v>262</v>
      </c>
      <c r="I12" s="142">
        <v>799.99</v>
      </c>
      <c r="J12" s="143">
        <f t="shared" si="0"/>
        <v>799.99</v>
      </c>
      <c r="K12" s="144" t="str">
        <f t="shared" si="2"/>
        <v>Sim</v>
      </c>
      <c r="L12" s="144">
        <f t="shared" si="1"/>
        <v>799.99</v>
      </c>
      <c r="M12" s="340"/>
      <c r="N12" s="341"/>
      <c r="P12" s="135"/>
      <c r="Q12" s="136"/>
      <c r="R12" s="136"/>
    </row>
    <row r="13" spans="1:18">
      <c r="A13" s="344"/>
      <c r="B13" s="344"/>
      <c r="C13" s="342"/>
      <c r="D13" s="145" t="s">
        <v>32</v>
      </c>
      <c r="E13" s="286">
        <v>45807</v>
      </c>
      <c r="F13" s="287"/>
      <c r="G13" s="146" t="s">
        <v>263</v>
      </c>
      <c r="H13" s="84" t="s">
        <v>264</v>
      </c>
      <c r="I13" s="142">
        <v>899.9</v>
      </c>
      <c r="J13" s="143">
        <f t="shared" si="0"/>
        <v>899.9</v>
      </c>
      <c r="K13" s="144" t="str">
        <f t="shared" si="2"/>
        <v>Sim</v>
      </c>
      <c r="L13" s="144">
        <f t="shared" si="1"/>
        <v>899.9</v>
      </c>
      <c r="M13" s="340"/>
      <c r="N13" s="341"/>
      <c r="P13" s="135"/>
      <c r="Q13" s="136"/>
      <c r="R13" s="136"/>
    </row>
    <row r="14" spans="1:18">
      <c r="A14" s="344"/>
      <c r="B14" s="344"/>
      <c r="C14" s="342"/>
      <c r="D14" s="145" t="s">
        <v>32</v>
      </c>
      <c r="E14" s="286">
        <v>45807</v>
      </c>
      <c r="F14" s="287"/>
      <c r="G14" s="147" t="s">
        <v>265</v>
      </c>
      <c r="H14" s="148" t="s">
        <v>266</v>
      </c>
      <c r="I14" s="149">
        <v>799</v>
      </c>
      <c r="J14" s="143">
        <f t="shared" si="0"/>
        <v>799</v>
      </c>
      <c r="K14" s="144" t="str">
        <f t="shared" si="2"/>
        <v>Sim</v>
      </c>
      <c r="L14" s="144">
        <f t="shared" si="1"/>
        <v>799</v>
      </c>
      <c r="M14" s="340"/>
      <c r="N14" s="341"/>
      <c r="P14" s="135"/>
      <c r="Q14" s="136"/>
      <c r="R14" s="136"/>
    </row>
    <row r="15" spans="1:18">
      <c r="C15" s="127"/>
      <c r="D15" s="128"/>
      <c r="E15" s="128"/>
      <c r="F15" s="128"/>
      <c r="G15" s="129"/>
      <c r="H15" s="130"/>
      <c r="I15" s="131"/>
      <c r="J15" s="132"/>
      <c r="K15" s="133"/>
      <c r="L15" s="133"/>
      <c r="M15" s="134"/>
      <c r="N15" s="134"/>
      <c r="P15" s="135"/>
      <c r="Q15" s="136"/>
      <c r="R15" s="136"/>
    </row>
    <row r="16" spans="1:18">
      <c r="A16" s="350" t="s">
        <v>2</v>
      </c>
      <c r="B16" s="351"/>
      <c r="C16" s="351"/>
      <c r="D16" s="351"/>
      <c r="E16" s="352"/>
      <c r="F16" s="350" t="s">
        <v>3</v>
      </c>
      <c r="G16" s="351"/>
      <c r="H16" s="351"/>
      <c r="I16" s="319" t="s">
        <v>4</v>
      </c>
      <c r="J16" s="320"/>
      <c r="K16" s="320"/>
      <c r="L16" s="321"/>
      <c r="M16" s="319" t="s">
        <v>5</v>
      </c>
      <c r="N16" s="321"/>
      <c r="P16" s="135"/>
      <c r="Q16" s="136"/>
      <c r="R16" s="136"/>
    </row>
    <row r="17" spans="1:18" ht="15" customHeight="1">
      <c r="A17" s="353"/>
      <c r="B17" s="354"/>
      <c r="C17" s="354"/>
      <c r="D17" s="354"/>
      <c r="E17" s="355"/>
      <c r="F17" s="359" t="s">
        <v>267</v>
      </c>
      <c r="G17" s="360"/>
      <c r="H17" s="360"/>
      <c r="I17" s="332" t="s">
        <v>7</v>
      </c>
      <c r="J17" s="333"/>
      <c r="K17" s="333"/>
      <c r="L17" s="334"/>
      <c r="M17" s="335" t="s">
        <v>8</v>
      </c>
      <c r="N17" s="337"/>
      <c r="P17" s="135"/>
      <c r="Q17" s="136"/>
      <c r="R17" s="136"/>
    </row>
    <row r="18" spans="1:18">
      <c r="A18" s="356"/>
      <c r="B18" s="357"/>
      <c r="C18" s="357"/>
      <c r="D18" s="357"/>
      <c r="E18" s="358"/>
      <c r="F18" s="361"/>
      <c r="G18" s="362"/>
      <c r="H18" s="362"/>
      <c r="I18" s="335"/>
      <c r="J18" s="336"/>
      <c r="K18" s="336"/>
      <c r="L18" s="337"/>
      <c r="M18" s="338" t="s">
        <v>9</v>
      </c>
      <c r="N18" s="339"/>
      <c r="P18" s="135"/>
      <c r="Q18" s="136"/>
      <c r="R18" s="136"/>
    </row>
    <row r="19" spans="1:18" ht="22.5">
      <c r="A19" s="150" t="s">
        <v>10</v>
      </c>
      <c r="B19" s="150" t="s">
        <v>11</v>
      </c>
      <c r="C19" s="150" t="s">
        <v>12</v>
      </c>
      <c r="D19" s="151" t="s">
        <v>13</v>
      </c>
      <c r="E19" s="346" t="s">
        <v>14</v>
      </c>
      <c r="F19" s="346"/>
      <c r="G19" s="152" t="s">
        <v>15</v>
      </c>
      <c r="H19" s="152" t="s">
        <v>16</v>
      </c>
      <c r="I19" s="141" t="s">
        <v>17</v>
      </c>
      <c r="J19" s="138" t="s">
        <v>18</v>
      </c>
      <c r="K19" s="138"/>
      <c r="L19" s="138" t="s">
        <v>19</v>
      </c>
      <c r="M19" s="138" t="s">
        <v>20</v>
      </c>
      <c r="N19" s="138" t="s">
        <v>21</v>
      </c>
      <c r="P19" s="135"/>
      <c r="Q19" s="136"/>
      <c r="R19" s="136"/>
    </row>
    <row r="20" spans="1:18" ht="15" customHeight="1">
      <c r="A20" s="347"/>
      <c r="B20" s="349">
        <v>17</v>
      </c>
      <c r="C20" s="342">
        <v>2</v>
      </c>
      <c r="D20" s="85" t="s">
        <v>73</v>
      </c>
      <c r="E20" s="345" t="s">
        <v>268</v>
      </c>
      <c r="F20" s="345"/>
      <c r="G20" s="84" t="s">
        <v>269</v>
      </c>
      <c r="H20" s="84" t="s">
        <v>270</v>
      </c>
      <c r="I20" s="142">
        <v>539</v>
      </c>
      <c r="J20" s="143">
        <f>IF(AND((STDEV(I$20:I$24)/AVERAGE(I$20:I$24))&lt;=0.25,ISNUMBER(I20)),I20,IF(AND(I20&lt;=(AVERAGE(I$20:I$24)+STDEV(I$20:I$24)),I20&gt;=(AVERAGE(I$20:I$24)-STDEV(I$20:I$24)),ISNUMBER(I20)),I20,""))</f>
        <v>539</v>
      </c>
      <c r="K20" s="144" t="str">
        <f>IF(I20="","",IF(AND(COUNT(I$20:I$25)=1,ISNUMBER(I20)),"Sim",IF(AND((STDEV(J$20:J$25)/AVERAGE(J$20:J$25))&lt;0.25,ISNUMBER(J20)),"Sim",IF(AND(J20&lt;=(AVERAGE(J$20:J$25)+STDEV(J$20:J$25)),J20&gt;=(AVERAGE(J$20:J$25)-STDEV(J$20:J$25)),ISNUMBER(J20)),"Sim","Não"))))</f>
        <v>Sim</v>
      </c>
      <c r="L20" s="144">
        <f>IF(K20="Sim",J20,"")</f>
        <v>539</v>
      </c>
      <c r="M20" s="340">
        <f>IF(I20="","",ROUND(IF(COUNT(I20:I24)=1,I20,IF((COUNT(L20:L24)&lt;3),MIN(L20:L24),AVERAGE(L20:L24))),2))</f>
        <v>478.45</v>
      </c>
      <c r="N20" s="341">
        <f>IF(M20="","",C20*M20)</f>
        <v>956.9</v>
      </c>
      <c r="P20" s="135"/>
      <c r="Q20" s="136"/>
      <c r="R20" s="136"/>
    </row>
    <row r="21" spans="1:18" ht="15" customHeight="1">
      <c r="A21" s="348"/>
      <c r="B21" s="349"/>
      <c r="C21" s="342"/>
      <c r="D21" s="85" t="s">
        <v>271</v>
      </c>
      <c r="E21" s="345">
        <v>45687</v>
      </c>
      <c r="F21" s="345"/>
      <c r="G21" s="85" t="s">
        <v>272</v>
      </c>
      <c r="H21" s="153" t="s">
        <v>273</v>
      </c>
      <c r="I21" s="142">
        <v>409.99</v>
      </c>
      <c r="J21" s="143">
        <f>IF(AND((STDEV(I$20:I$24)/AVERAGE(I$20:I$24))&lt;=0.25,ISNUMBER(I21)),I21,IF(AND(I21&lt;=(AVERAGE(I$20:I$24)+STDEV(I$20:I$24)),I21&gt;=(AVERAGE(I$20:I$24)-STDEV(I$20:I$24)),ISNUMBER(I21)),I21,""))</f>
        <v>409.99</v>
      </c>
      <c r="K21" s="144" t="str">
        <f>IF(I21="","",IF(AND(COUNT(I$20:I$25)=1,ISNUMBER(I21)),"Sim",IF(AND((STDEV(J$20:J$25)/AVERAGE(J$20:J$25))&lt;0.25,ISNUMBER(J21)),"Sim",IF(AND(J21&lt;=(AVERAGE(J$20:J$25)+STDEV(J$20:J$25)),J21&gt;=(AVERAGE(J$20:J$25)-STDEV(J$20:J$25)),ISNUMBER(J21)),"Sim","Não"))))</f>
        <v>Sim</v>
      </c>
      <c r="L21" s="144">
        <f t="shared" ref="L21:L24" si="3">IF(K21="Sim",J21,"")</f>
        <v>409.99</v>
      </c>
      <c r="M21" s="340"/>
      <c r="N21" s="341"/>
      <c r="P21" s="135"/>
      <c r="Q21" s="136"/>
      <c r="R21" s="136"/>
    </row>
    <row r="22" spans="1:18">
      <c r="A22" s="348"/>
      <c r="B22" s="349"/>
      <c r="C22" s="342"/>
      <c r="D22" s="84" t="s">
        <v>32</v>
      </c>
      <c r="E22" s="286">
        <v>45807</v>
      </c>
      <c r="F22" s="287"/>
      <c r="G22" s="146" t="s">
        <v>274</v>
      </c>
      <c r="H22" s="154" t="s">
        <v>275</v>
      </c>
      <c r="I22" s="155">
        <v>481.9</v>
      </c>
      <c r="J22" s="143">
        <f>IF(AND((STDEV(I$20:I$24)/AVERAGE(I$20:I$24))&lt;=0.25,ISNUMBER(I22)),I22,IF(AND(I22&lt;=(AVERAGE(I$20:I$24)+STDEV(I$20:I$24)),I22&gt;=(AVERAGE(I$20:I$24)-STDEV(I$20:I$24)),ISNUMBER(I22)),I22,""))</f>
        <v>481.9</v>
      </c>
      <c r="K22" s="144" t="str">
        <f>IF(I22="","",IF(AND(COUNT(I$20:I$25)=1,ISNUMBER(I22)),"Sim",IF(AND((STDEV(J$20:J$25)/AVERAGE(J$20:J$25))&lt;0.25,ISNUMBER(J22)),"Sim",IF(AND(J22&lt;=(AVERAGE(J$20:J$25)+STDEV(J$20:J$25)),J22&gt;=(AVERAGE(J$20:J$25)-STDEV(J$20:J$25)),ISNUMBER(J22)),"Sim","Não"))))</f>
        <v>Sim</v>
      </c>
      <c r="L22" s="144">
        <f t="shared" si="3"/>
        <v>481.9</v>
      </c>
      <c r="M22" s="340"/>
      <c r="N22" s="341"/>
      <c r="P22" s="135"/>
      <c r="Q22" s="136"/>
      <c r="R22" s="136"/>
    </row>
    <row r="23" spans="1:18">
      <c r="A23" s="348"/>
      <c r="B23" s="349"/>
      <c r="C23" s="342"/>
      <c r="D23" s="84" t="s">
        <v>32</v>
      </c>
      <c r="E23" s="286">
        <v>45807</v>
      </c>
      <c r="F23" s="287"/>
      <c r="G23" s="146" t="s">
        <v>276</v>
      </c>
      <c r="H23" s="156" t="s">
        <v>277</v>
      </c>
      <c r="I23" s="155">
        <v>482.9</v>
      </c>
      <c r="J23" s="143">
        <f>IF(AND((STDEV(I$20:I$24)/AVERAGE(I$20:I$24))&lt;=0.25,ISNUMBER(I23)),I23,IF(AND(I23&lt;=(AVERAGE(I$20:I$24)+STDEV(I$20:I$24)),I23&gt;=(AVERAGE(I$20:I$24)-STDEV(I$20:I$24)),ISNUMBER(I23)),I23,""))</f>
        <v>482.9</v>
      </c>
      <c r="K23" s="144" t="str">
        <f>IF(I23="","",IF(AND(COUNT(I$20:I$25)=1,ISNUMBER(I23)),"Sim",IF(AND((STDEV(J$20:J$25)/AVERAGE(J$20:J$25))&lt;0.25,ISNUMBER(J23)),"Sim",IF(AND(J23&lt;=(AVERAGE(J$20:J$25)+STDEV(J$20:J$25)),J23&gt;=(AVERAGE(J$20:J$25)-STDEV(J$20:J$25)),ISNUMBER(J23)),"Sim","Não"))))</f>
        <v>Sim</v>
      </c>
      <c r="L23" s="144">
        <f t="shared" si="3"/>
        <v>482.9</v>
      </c>
      <c r="M23" s="340"/>
      <c r="N23" s="341"/>
      <c r="P23" s="135"/>
      <c r="Q23" s="136"/>
      <c r="R23" s="136"/>
    </row>
    <row r="24" spans="1:18">
      <c r="A24" s="348"/>
      <c r="B24" s="349"/>
      <c r="C24" s="342"/>
      <c r="D24" s="84" t="s">
        <v>32</v>
      </c>
      <c r="E24" s="286">
        <v>45807</v>
      </c>
      <c r="F24" s="287"/>
      <c r="G24" s="146" t="s">
        <v>278</v>
      </c>
      <c r="H24" s="156" t="s">
        <v>279</v>
      </c>
      <c r="I24" s="157">
        <v>109.99</v>
      </c>
      <c r="J24" s="143" t="str">
        <f>IF(AND((STDEV(I$20:I$24)/AVERAGE(I$20:I$24))&lt;=0.25,ISNUMBER(I24)),I24,IF(AND(I24&lt;=(AVERAGE(I$20:I$24)+STDEV(I$20:I$24)),I24&gt;=(AVERAGE(I$20:I$24)-STDEV(I$20:I$24)),ISNUMBER(I24)),I24,""))</f>
        <v/>
      </c>
      <c r="K24" s="144" t="str">
        <f>IF(I24="","",IF(AND(COUNT(I$20:I$25)=1,ISNUMBER(I24)),"Sim",IF(AND((STDEV(J$20:J$25)/AVERAGE(J$20:J$25))&lt;0.25,ISNUMBER(J24)),"Sim",IF(AND(J24&lt;=(AVERAGE(J$20:J$25)+STDEV(J$20:J$25)),J24&gt;=(AVERAGE(J$20:J$25)-STDEV(J$20:J$25)),ISNUMBER(J24)),"Sim","Não"))))</f>
        <v>Não</v>
      </c>
      <c r="L24" s="144" t="str">
        <f t="shared" si="3"/>
        <v/>
      </c>
      <c r="M24" s="340"/>
      <c r="N24" s="341"/>
      <c r="P24" s="135"/>
      <c r="Q24" s="136"/>
      <c r="R24" s="136"/>
    </row>
    <row r="25" spans="1:18">
      <c r="C25" s="127"/>
      <c r="D25" s="128"/>
      <c r="E25" s="128"/>
      <c r="F25" s="128"/>
      <c r="G25" s="129"/>
      <c r="H25" s="130"/>
      <c r="I25" s="131"/>
      <c r="J25" s="132"/>
      <c r="K25" s="133"/>
      <c r="L25" s="133"/>
      <c r="M25" s="134"/>
      <c r="N25" s="134"/>
      <c r="P25" s="135"/>
      <c r="Q25" s="136"/>
      <c r="R25" s="136"/>
    </row>
    <row r="26" spans="1:18">
      <c r="P26" s="135"/>
      <c r="Q26" s="136"/>
      <c r="R26" s="136"/>
    </row>
    <row r="27" spans="1:18">
      <c r="A27" s="319" t="s">
        <v>2</v>
      </c>
      <c r="B27" s="320"/>
      <c r="C27" s="320"/>
      <c r="D27" s="320"/>
      <c r="E27" s="321"/>
      <c r="F27" s="319" t="s">
        <v>3</v>
      </c>
      <c r="G27" s="320"/>
      <c r="H27" s="320"/>
      <c r="I27" s="319" t="s">
        <v>4</v>
      </c>
      <c r="J27" s="320"/>
      <c r="K27" s="320"/>
      <c r="L27" s="321"/>
      <c r="M27" s="319" t="s">
        <v>5</v>
      </c>
      <c r="N27" s="321"/>
      <c r="P27" s="135"/>
      <c r="Q27" s="136"/>
      <c r="R27" s="136"/>
    </row>
    <row r="28" spans="1:18">
      <c r="A28" s="322"/>
      <c r="B28" s="323"/>
      <c r="C28" s="323"/>
      <c r="D28" s="323"/>
      <c r="E28" s="324"/>
      <c r="F28" s="328" t="s">
        <v>280</v>
      </c>
      <c r="G28" s="329"/>
      <c r="H28" s="329"/>
      <c r="I28" s="332" t="s">
        <v>7</v>
      </c>
      <c r="J28" s="333"/>
      <c r="K28" s="333"/>
      <c r="L28" s="334"/>
      <c r="M28" s="335" t="s">
        <v>8</v>
      </c>
      <c r="N28" s="337"/>
      <c r="P28" s="135"/>
      <c r="Q28" s="136"/>
      <c r="R28" s="136"/>
    </row>
    <row r="29" spans="1:18">
      <c r="A29" s="325"/>
      <c r="B29" s="326"/>
      <c r="C29" s="326"/>
      <c r="D29" s="326"/>
      <c r="E29" s="327"/>
      <c r="F29" s="330"/>
      <c r="G29" s="331"/>
      <c r="H29" s="331"/>
      <c r="I29" s="335"/>
      <c r="J29" s="336"/>
      <c r="K29" s="336"/>
      <c r="L29" s="337"/>
      <c r="M29" s="338" t="s">
        <v>9</v>
      </c>
      <c r="N29" s="339"/>
      <c r="P29" s="135"/>
      <c r="Q29" s="136"/>
      <c r="R29" s="136"/>
    </row>
    <row r="30" spans="1:18" ht="22.5">
      <c r="A30" s="138" t="s">
        <v>10</v>
      </c>
      <c r="B30" s="138" t="s">
        <v>11</v>
      </c>
      <c r="C30" s="138" t="s">
        <v>12</v>
      </c>
      <c r="D30" s="139" t="s">
        <v>13</v>
      </c>
      <c r="E30" s="343" t="s">
        <v>14</v>
      </c>
      <c r="F30" s="343"/>
      <c r="G30" s="140" t="s">
        <v>15</v>
      </c>
      <c r="H30" s="140" t="s">
        <v>16</v>
      </c>
      <c r="I30" s="141" t="s">
        <v>17</v>
      </c>
      <c r="J30" s="138" t="s">
        <v>18</v>
      </c>
      <c r="K30" s="138"/>
      <c r="L30" s="138" t="s">
        <v>19</v>
      </c>
      <c r="M30" s="138" t="s">
        <v>20</v>
      </c>
      <c r="N30" s="138" t="s">
        <v>21</v>
      </c>
      <c r="P30" s="135"/>
      <c r="Q30" s="136"/>
      <c r="R30" s="136"/>
    </row>
    <row r="31" spans="1:18" ht="15" customHeight="1">
      <c r="A31" s="344"/>
      <c r="B31" s="344">
        <v>18</v>
      </c>
      <c r="C31" s="342"/>
      <c r="D31" s="85" t="s">
        <v>281</v>
      </c>
      <c r="E31" s="345" t="s">
        <v>282</v>
      </c>
      <c r="F31" s="345"/>
      <c r="G31" s="85" t="s">
        <v>283</v>
      </c>
      <c r="H31" s="85" t="s">
        <v>284</v>
      </c>
      <c r="I31" s="142">
        <v>725</v>
      </c>
      <c r="J31" s="143">
        <f>IF(AND((STDEV(I$31:I$35)/AVERAGE(I$31:I$35))&lt;=0.25,ISNUMBER(I31)),I31,IF(AND(I31&lt;=(AVERAGE(I$31:I$35)+STDEV(I$31:I$35)),I31&gt;=(AVERAGE(I$31:I$35)-STDEV(I$31:I$35)),ISNUMBER(I31)),I31,""))</f>
        <v>725</v>
      </c>
      <c r="K31" s="144" t="str">
        <f>IF(I31="","",IF(AND(COUNT(I$31:I$35)=1,ISNUMBER(I31)),"Sim",IF(AND((STDEV(J$31:J$35)/AVERAGE(J$31:J$35))&lt;0.25,ISNUMBER(J31)),"Sim",IF(AND(J31&lt;=(AVERAGE(J$31:J$35)+STDEV(J$31:J$35)),J31&gt;=(AVERAGE(J$31:J$35)-STDEV(J$31:J$35)),ISNUMBER(J31)),"Sim","Não"))))</f>
        <v>Sim</v>
      </c>
      <c r="L31" s="144">
        <f>IF(K31="Sim",J31,"")</f>
        <v>725</v>
      </c>
      <c r="M31" s="340">
        <f>IF(I31="","",ROUND(IF(COUNT(I31:I35)=1,I31,IF((COUNT(L31:L35)&lt;3),MIN(L31:L35),AVERAGE(L31:L35))),2))</f>
        <v>743.18</v>
      </c>
      <c r="N31" s="341">
        <f>IF(M31="","",C31*M31)</f>
        <v>0</v>
      </c>
      <c r="P31" s="135"/>
      <c r="Q31" s="136"/>
      <c r="R31" s="136"/>
    </row>
    <row r="32" spans="1:18" ht="15.75" customHeight="1">
      <c r="A32" s="344"/>
      <c r="B32" s="344"/>
      <c r="C32" s="342"/>
      <c r="D32" s="85" t="s">
        <v>285</v>
      </c>
      <c r="E32" s="345" t="s">
        <v>286</v>
      </c>
      <c r="F32" s="345"/>
      <c r="G32" s="85" t="s">
        <v>287</v>
      </c>
      <c r="H32" s="84" t="s">
        <v>288</v>
      </c>
      <c r="I32" s="142">
        <v>785.1</v>
      </c>
      <c r="J32" s="143">
        <f>IF(AND((STDEV(I$31:I$35)/AVERAGE(I$31:I$35))&lt;=0.25,ISNUMBER(I32)),I32,IF(AND(I32&lt;=(AVERAGE(I$31:I$35)+STDEV(I$31:I$35)),I32&gt;=(AVERAGE(I$31:I$35)-STDEV(I$31:I$35)),ISNUMBER(I32)),I32,""))</f>
        <v>785.1</v>
      </c>
      <c r="K32" s="144" t="str">
        <f>IF(I32="","",IF(AND(COUNT(I$31:I$35)=1,ISNUMBER(I32)),"Sim",IF(AND((STDEV(J$31:J$35)/AVERAGE(J$31:J$35))&lt;0.25,ISNUMBER(J32)),"Sim",IF(AND(J32&lt;=(AVERAGE(J$31:J$35)+STDEV(J$31:J$35)),J32&gt;=(AVERAGE(J$31:J$35)-STDEV(J$31:J$35)),ISNUMBER(J32)),"Sim","Não"))))</f>
        <v>Sim</v>
      </c>
      <c r="L32" s="144">
        <f>IF(K32="Sim",J32,"")</f>
        <v>785.1</v>
      </c>
      <c r="M32" s="340"/>
      <c r="N32" s="341"/>
      <c r="P32" s="135"/>
      <c r="Q32" s="136"/>
      <c r="R32" s="136"/>
    </row>
    <row r="33" spans="1:18">
      <c r="A33" s="344"/>
      <c r="B33" s="344"/>
      <c r="C33" s="342"/>
      <c r="D33" s="145" t="s">
        <v>32</v>
      </c>
      <c r="E33" s="286">
        <v>45807</v>
      </c>
      <c r="F33" s="287"/>
      <c r="G33" s="171" t="s">
        <v>289</v>
      </c>
      <c r="H33" s="84" t="s">
        <v>290</v>
      </c>
      <c r="I33" s="142">
        <v>925</v>
      </c>
      <c r="J33" s="143">
        <f t="shared" ref="J33:J34" si="4">IF(AND((STDEV(I$31:I$35)/AVERAGE(I$31:I$35))&lt;=0.25,ISNUMBER(I33)),I33,IF(AND(I33&lt;=(AVERAGE(I$31:I$35)+STDEV(I$31:I$35)),I33&gt;=(AVERAGE(I$31:I$35)-STDEV(I$31:I$35)),ISNUMBER(I33)),I33,""))</f>
        <v>925</v>
      </c>
      <c r="K33" s="144" t="str">
        <f>IF(I33="","",IF(AND(COUNT(I$31:I$35)=1,ISNUMBER(I33)),"Sim",IF(AND((STDEV(J$31:J$35)/AVERAGE(J$31:J$35))&lt;0.25,ISNUMBER(J33)),"Sim",IF(AND(J33&lt;=(AVERAGE(J$31:J$35)+STDEV(J$31:J$35)),J33&gt;=(AVERAGE(J$31:J$35)-STDEV(J$31:J$35)),ISNUMBER(J33)),"Sim","Não"))))</f>
        <v>Sim</v>
      </c>
      <c r="L33" s="144">
        <f t="shared" ref="L33:L35" si="5">IF(K33="Sim",J33,"")</f>
        <v>925</v>
      </c>
      <c r="M33" s="340"/>
      <c r="N33" s="341"/>
      <c r="P33" s="135"/>
      <c r="Q33" s="136"/>
      <c r="R33" s="136"/>
    </row>
    <row r="34" spans="1:18">
      <c r="A34" s="344"/>
      <c r="B34" s="344"/>
      <c r="C34" s="342"/>
      <c r="D34" s="145" t="s">
        <v>32</v>
      </c>
      <c r="E34" s="286">
        <v>45807</v>
      </c>
      <c r="F34" s="287"/>
      <c r="G34" s="171" t="s">
        <v>291</v>
      </c>
      <c r="H34" s="84" t="s">
        <v>292</v>
      </c>
      <c r="I34" s="142">
        <v>545</v>
      </c>
      <c r="J34" s="143">
        <f t="shared" si="4"/>
        <v>545</v>
      </c>
      <c r="K34" s="144" t="str">
        <f>IF(I34="","",IF(AND(COUNT(I$31:I$35)=1,ISNUMBER(I34)),"Sim",IF(AND((STDEV(J$31:J$35)/AVERAGE(J$31:J$35))&lt;0.25,ISNUMBER(J34)),"Sim",IF(AND(J34&lt;=(AVERAGE(J$31:J$35)+STDEV(J$31:J$35)),J34&gt;=(AVERAGE(J$31:J$35)-STDEV(J$31:J$35)),ISNUMBER(J34)),"Sim","Não"))))</f>
        <v>Sim</v>
      </c>
      <c r="L34" s="144">
        <f t="shared" si="5"/>
        <v>545</v>
      </c>
      <c r="M34" s="340"/>
      <c r="N34" s="341"/>
      <c r="P34" s="135"/>
      <c r="Q34" s="136"/>
      <c r="R34" s="136"/>
    </row>
    <row r="35" spans="1:18">
      <c r="A35" s="344"/>
      <c r="B35" s="344"/>
      <c r="C35" s="342"/>
      <c r="D35" s="145" t="s">
        <v>32</v>
      </c>
      <c r="E35" s="286">
        <v>45807</v>
      </c>
      <c r="F35" s="287"/>
      <c r="G35" s="171" t="s">
        <v>293</v>
      </c>
      <c r="H35" s="84" t="s">
        <v>294</v>
      </c>
      <c r="I35" s="142">
        <v>735.79</v>
      </c>
      <c r="J35" s="143">
        <f>IF(AND((STDEV(I$31:I$35)/AVERAGE(I$31:I$35))&lt;=0.25,ISNUMBER(I35)),I35,IF(AND(I35&lt;=(AVERAGE(I$31:I$35)+STDEV(I$31:I$35)),I35&gt;=(AVERAGE(I$31:I$35)-STDEV(I$31:I$35)),ISNUMBER(I35)),I35,""))</f>
        <v>735.79</v>
      </c>
      <c r="K35" s="144" t="str">
        <f>IF(I35="","",IF(AND(COUNT(I$31:I$35)=1,ISNUMBER(I35)),"Sim",IF(AND((STDEV(J$31:J$35)/AVERAGE(J$31:J$35))&lt;0.25,ISNUMBER(J35)),"Sim",IF(AND(J35&lt;=(AVERAGE(J$31:J$35)+STDEV(J$31:J$35)),J35&gt;=(AVERAGE(J$31:J$35)-STDEV(J$31:J$35)),ISNUMBER(J35)),"Sim","Não"))))</f>
        <v>Sim</v>
      </c>
      <c r="L35" s="144">
        <f t="shared" si="5"/>
        <v>735.79</v>
      </c>
      <c r="M35" s="340"/>
      <c r="N35" s="341"/>
      <c r="P35" s="135"/>
      <c r="Q35" s="136"/>
      <c r="R35" s="136"/>
    </row>
    <row r="36" spans="1:18">
      <c r="P36" s="135"/>
      <c r="Q36" s="136"/>
      <c r="R36" s="136"/>
    </row>
    <row r="37" spans="1:18">
      <c r="A37" s="319" t="s">
        <v>2</v>
      </c>
      <c r="B37" s="320"/>
      <c r="C37" s="320"/>
      <c r="D37" s="320"/>
      <c r="E37" s="321"/>
      <c r="F37" s="319" t="s">
        <v>3</v>
      </c>
      <c r="G37" s="320"/>
      <c r="H37" s="320"/>
      <c r="I37" s="319" t="s">
        <v>4</v>
      </c>
      <c r="J37" s="320"/>
      <c r="K37" s="320"/>
      <c r="L37" s="321"/>
      <c r="M37" s="319" t="s">
        <v>5</v>
      </c>
      <c r="N37" s="321"/>
      <c r="P37" s="135"/>
      <c r="Q37" s="136"/>
      <c r="R37" s="136"/>
    </row>
    <row r="38" spans="1:18">
      <c r="A38" s="322"/>
      <c r="B38" s="323"/>
      <c r="C38" s="323"/>
      <c r="D38" s="323"/>
      <c r="E38" s="324"/>
      <c r="F38" s="328" t="s">
        <v>295</v>
      </c>
      <c r="G38" s="329"/>
      <c r="H38" s="329"/>
      <c r="I38" s="332" t="s">
        <v>7</v>
      </c>
      <c r="J38" s="333"/>
      <c r="K38" s="333"/>
      <c r="L38" s="334"/>
      <c r="M38" s="335" t="s">
        <v>8</v>
      </c>
      <c r="N38" s="337"/>
      <c r="P38" s="135"/>
      <c r="Q38" s="136"/>
      <c r="R38" s="136"/>
    </row>
    <row r="39" spans="1:18">
      <c r="A39" s="325"/>
      <c r="B39" s="326"/>
      <c r="C39" s="326"/>
      <c r="D39" s="326"/>
      <c r="E39" s="327"/>
      <c r="F39" s="330"/>
      <c r="G39" s="331"/>
      <c r="H39" s="331"/>
      <c r="I39" s="335"/>
      <c r="J39" s="336"/>
      <c r="K39" s="336"/>
      <c r="L39" s="337"/>
      <c r="M39" s="338" t="s">
        <v>9</v>
      </c>
      <c r="N39" s="339"/>
      <c r="P39" s="135"/>
      <c r="Q39" s="136"/>
      <c r="R39" s="136"/>
    </row>
    <row r="40" spans="1:18" ht="22.5">
      <c r="A40" s="138" t="s">
        <v>10</v>
      </c>
      <c r="B40" s="138" t="s">
        <v>11</v>
      </c>
      <c r="C40" s="138" t="s">
        <v>12</v>
      </c>
      <c r="D40" s="139" t="s">
        <v>13</v>
      </c>
      <c r="E40" s="343" t="s">
        <v>14</v>
      </c>
      <c r="F40" s="343"/>
      <c r="G40" s="140" t="s">
        <v>15</v>
      </c>
      <c r="H40" s="140" t="s">
        <v>16</v>
      </c>
      <c r="I40" s="141" t="s">
        <v>17</v>
      </c>
      <c r="J40" s="138" t="s">
        <v>18</v>
      </c>
      <c r="K40" s="138"/>
      <c r="L40" s="138" t="s">
        <v>19</v>
      </c>
      <c r="M40" s="138" t="s">
        <v>20</v>
      </c>
      <c r="N40" s="138" t="s">
        <v>21</v>
      </c>
      <c r="P40" s="135"/>
      <c r="Q40" s="136"/>
      <c r="R40" s="136"/>
    </row>
    <row r="41" spans="1:18">
      <c r="A41" s="344"/>
      <c r="B41" s="344">
        <v>19</v>
      </c>
      <c r="C41" s="342"/>
      <c r="D41" s="85" t="s">
        <v>281</v>
      </c>
      <c r="E41" s="345" t="s">
        <v>282</v>
      </c>
      <c r="F41" s="345"/>
      <c r="G41" s="85" t="s">
        <v>283</v>
      </c>
      <c r="H41" s="85" t="s">
        <v>284</v>
      </c>
      <c r="I41" s="142">
        <v>725</v>
      </c>
      <c r="J41" s="143">
        <f>IF(AND((STDEV(I$41:I$45)/AVERAGE(I$41:I$45))&lt;=0.25,ISNUMBER(I41)),I41,IF(AND(I41&lt;=(AVERAGE(I$41:I$45)+STDEV(I$41:I$45)),I41&gt;=(AVERAGE(I$41:I$45)-STDEV(I$41:I$45)),ISNUMBER(I41)),I41,""))</f>
        <v>725</v>
      </c>
      <c r="K41" s="144" t="str">
        <f>IF(I41="","",IF(AND(COUNT(I$41:I$45)=1,ISNUMBER(I41)),"Sim",IF(AND((STDEV(J$41:J$45)/AVERAGE(J$41:J$45))&lt;0.25,ISNUMBER(J41)),"Sim",IF(AND(J41&lt;=(AVERAGE(J$41:J$45)+STDEV(J$41:J$45)),J41&gt;=(AVERAGE(J$41:J$45)-STDEV(J$41:J$45)),ISNUMBER(J41)),"Sim","Não"))))</f>
        <v>Sim</v>
      </c>
      <c r="L41" s="144">
        <f>IF(K41="Sim",J41,"")</f>
        <v>725</v>
      </c>
      <c r="M41" s="340">
        <f>IF(I41="","",ROUND(IF(COUNT(I41:I45)=1,I41,IF((COUNT(L41:L45)&lt;3),MIN(L41:L45),AVERAGE(L41:L45))),2))</f>
        <v>743.18</v>
      </c>
      <c r="N41" s="341">
        <f>IF(M41="","",C41*M41)</f>
        <v>0</v>
      </c>
      <c r="P41" s="135"/>
      <c r="Q41" s="136"/>
      <c r="R41" s="136"/>
    </row>
    <row r="42" spans="1:18">
      <c r="A42" s="344"/>
      <c r="B42" s="344"/>
      <c r="C42" s="342"/>
      <c r="D42" s="85" t="s">
        <v>285</v>
      </c>
      <c r="E42" s="345" t="s">
        <v>286</v>
      </c>
      <c r="F42" s="345"/>
      <c r="G42" s="85" t="s">
        <v>287</v>
      </c>
      <c r="H42" s="84" t="s">
        <v>288</v>
      </c>
      <c r="I42" s="142">
        <v>785.1</v>
      </c>
      <c r="J42" s="143">
        <f>IF(AND((STDEV(I$41:I$45)/AVERAGE(I$41:I$45))&lt;=0.25,ISNUMBER(I42)),I42,IF(AND(I42&lt;=(AVERAGE(I$41:I$45)+STDEV(I$41:I$45)),I42&gt;=(AVERAGE(I$41:I$45)-STDEV(I$41:I$45)),ISNUMBER(I42)),I42,""))</f>
        <v>785.1</v>
      </c>
      <c r="K42" s="144" t="str">
        <f>IF(I42="","",IF(AND(COUNT(I$41:I$45)=1,ISNUMBER(I42)),"Sim",IF(AND((STDEV(J$41:J$45)/AVERAGE(J$41:J$45))&lt;0.25,ISNUMBER(J42)),"Sim",IF(AND(J42&lt;=(AVERAGE(J$41:J$45)+STDEV(J$41:J$45)),J42&gt;=(AVERAGE(J$41:J$45)-STDEV(J$41:J$45)),ISNUMBER(J42)),"Sim","Não"))))</f>
        <v>Sim</v>
      </c>
      <c r="L42" s="144">
        <f t="shared" ref="L42:L45" si="6">IF(K42="Sim",J42,"")</f>
        <v>785.1</v>
      </c>
      <c r="M42" s="340"/>
      <c r="N42" s="341"/>
      <c r="P42" s="135"/>
      <c r="Q42" s="136"/>
      <c r="R42" s="136"/>
    </row>
    <row r="43" spans="1:18">
      <c r="A43" s="344"/>
      <c r="B43" s="344"/>
      <c r="C43" s="342"/>
      <c r="D43" s="145" t="s">
        <v>32</v>
      </c>
      <c r="E43" s="286">
        <v>45807</v>
      </c>
      <c r="F43" s="287"/>
      <c r="G43" s="171" t="s">
        <v>289</v>
      </c>
      <c r="H43" s="84" t="s">
        <v>290</v>
      </c>
      <c r="I43" s="142">
        <v>925</v>
      </c>
      <c r="J43" s="143">
        <f>IF(AND((STDEV(I$41:I$45)/AVERAGE(I$41:I$45))&lt;=0.25,ISNUMBER(I43)),I43,IF(AND(I43&lt;=(AVERAGE(I$41:I$45)+STDEV(I$41:I$45)),I43&gt;=(AVERAGE(I$41:I$45)-STDEV(I$41:I$45)),ISNUMBER(I43)),I43,""))</f>
        <v>925</v>
      </c>
      <c r="K43" s="144" t="str">
        <f>IF(I43="","",IF(AND(COUNT(I$41:I$45)=1,ISNUMBER(I43)),"Sim",IF(AND((STDEV(J$41:J$45)/AVERAGE(J$41:J$45))&lt;0.25,ISNUMBER(J43)),"Sim",IF(AND(J43&lt;=(AVERAGE(J$41:J$45)+STDEV(J$41:J$45)),J43&gt;=(AVERAGE(J$41:J$45)-STDEV(J$41:J$45)),ISNUMBER(J43)),"Sim","Não"))))</f>
        <v>Sim</v>
      </c>
      <c r="L43" s="144">
        <f t="shared" si="6"/>
        <v>925</v>
      </c>
      <c r="M43" s="340"/>
      <c r="N43" s="341"/>
      <c r="P43" s="135"/>
      <c r="Q43" s="136"/>
      <c r="R43" s="136"/>
    </row>
    <row r="44" spans="1:18">
      <c r="A44" s="344"/>
      <c r="B44" s="344"/>
      <c r="C44" s="342"/>
      <c r="D44" s="145" t="s">
        <v>32</v>
      </c>
      <c r="E44" s="286">
        <v>45807</v>
      </c>
      <c r="F44" s="287"/>
      <c r="G44" s="171" t="s">
        <v>291</v>
      </c>
      <c r="H44" s="84" t="s">
        <v>292</v>
      </c>
      <c r="I44" s="142">
        <v>545</v>
      </c>
      <c r="J44" s="143">
        <f>IF(AND((STDEV(I$41:I$45)/AVERAGE(I$41:I$45))&lt;=0.25,ISNUMBER(I44)),I44,IF(AND(I44&lt;=(AVERAGE(I$41:I$45)+STDEV(I$41:I$45)),I44&gt;=(AVERAGE(I$41:I$45)-STDEV(I$41:I$45)),ISNUMBER(I44)),I44,""))</f>
        <v>545</v>
      </c>
      <c r="K44" s="144" t="str">
        <f>IF(I44="","",IF(AND(COUNT(I$41:I$45)=1,ISNUMBER(I44)),"Sim",IF(AND((STDEV(J$41:J$45)/AVERAGE(J$41:J$45))&lt;0.25,ISNUMBER(J44)),"Sim",IF(AND(J44&lt;=(AVERAGE(J$41:J$45)+STDEV(J$41:J$45)),J44&gt;=(AVERAGE(J$41:J$45)-STDEV(J$41:J$45)),ISNUMBER(J44)),"Sim","Não"))))</f>
        <v>Sim</v>
      </c>
      <c r="L44" s="144">
        <f>IF(K44="Sim",J44,"")</f>
        <v>545</v>
      </c>
      <c r="M44" s="340"/>
      <c r="N44" s="341"/>
      <c r="P44" s="135"/>
      <c r="Q44" s="136"/>
      <c r="R44" s="136"/>
    </row>
    <row r="45" spans="1:18">
      <c r="A45" s="344"/>
      <c r="B45" s="344"/>
      <c r="C45" s="342"/>
      <c r="D45" s="145" t="s">
        <v>32</v>
      </c>
      <c r="E45" s="286">
        <v>45807</v>
      </c>
      <c r="F45" s="287"/>
      <c r="G45" s="171" t="s">
        <v>293</v>
      </c>
      <c r="H45" s="84" t="s">
        <v>294</v>
      </c>
      <c r="I45" s="142">
        <v>735.79</v>
      </c>
      <c r="J45" s="143">
        <f>IF(AND((STDEV(I$41:I$45)/AVERAGE(I$41:I$45))&lt;=0.25,ISNUMBER(I45)),I45,IF(AND(I45&lt;=(AVERAGE(I$41:I$45)+STDEV(I$41:I$45)),I45&gt;=(AVERAGE(I$41:I$45)-STDEV(I$41:I$45)),ISNUMBER(I45)),I45,""))</f>
        <v>735.79</v>
      </c>
      <c r="K45" s="144" t="str">
        <f>IF(I45="","",IF(AND(COUNT(I$41:I$45)=1,ISNUMBER(I45)),"Sim",IF(AND((STDEV(J$41:J$45)/AVERAGE(J$41:J$45))&lt;0.25,ISNUMBER(J45)),"Sim",IF(AND(J45&lt;=(AVERAGE(J$41:J$45)+STDEV(J$41:J$45)),J45&gt;=(AVERAGE(J$41:J$45)-STDEV(J$41:J$45)),ISNUMBER(J45)),"Sim","Não"))))</f>
        <v>Sim</v>
      </c>
      <c r="L45" s="144">
        <f t="shared" si="6"/>
        <v>735.79</v>
      </c>
      <c r="M45" s="340"/>
      <c r="N45" s="341"/>
      <c r="P45" s="135"/>
      <c r="Q45" s="136"/>
      <c r="R45" s="136"/>
    </row>
    <row r="46" spans="1:18">
      <c r="P46" s="135"/>
      <c r="Q46" s="136"/>
      <c r="R46" s="136"/>
    </row>
    <row r="47" spans="1:18">
      <c r="P47" s="135"/>
      <c r="Q47" s="136"/>
      <c r="R47" s="136"/>
    </row>
    <row r="48" spans="1:18">
      <c r="A48" s="319" t="s">
        <v>2</v>
      </c>
      <c r="B48" s="320"/>
      <c r="C48" s="320"/>
      <c r="D48" s="320"/>
      <c r="E48" s="321"/>
      <c r="F48" s="319" t="s">
        <v>3</v>
      </c>
      <c r="G48" s="320"/>
      <c r="H48" s="320"/>
      <c r="I48" s="319" t="s">
        <v>4</v>
      </c>
      <c r="J48" s="320"/>
      <c r="K48" s="320"/>
      <c r="L48" s="321"/>
      <c r="M48" s="319" t="s">
        <v>5</v>
      </c>
      <c r="N48" s="321"/>
      <c r="P48" s="135"/>
      <c r="Q48" s="136"/>
      <c r="R48" s="136"/>
    </row>
    <row r="49" spans="1:14">
      <c r="A49" s="322"/>
      <c r="B49" s="323"/>
      <c r="C49" s="323"/>
      <c r="D49" s="323"/>
      <c r="E49" s="324"/>
      <c r="F49" s="328" t="s">
        <v>296</v>
      </c>
      <c r="G49" s="329"/>
      <c r="H49" s="329"/>
      <c r="I49" s="332" t="s">
        <v>7</v>
      </c>
      <c r="J49" s="333"/>
      <c r="K49" s="333"/>
      <c r="L49" s="334"/>
      <c r="M49" s="335" t="s">
        <v>8</v>
      </c>
      <c r="N49" s="337"/>
    </row>
    <row r="50" spans="1:14">
      <c r="A50" s="325"/>
      <c r="B50" s="326"/>
      <c r="C50" s="326"/>
      <c r="D50" s="326"/>
      <c r="E50" s="327"/>
      <c r="F50" s="330"/>
      <c r="G50" s="331"/>
      <c r="H50" s="331"/>
      <c r="I50" s="335"/>
      <c r="J50" s="336"/>
      <c r="K50" s="336"/>
      <c r="L50" s="337"/>
      <c r="M50" s="338" t="s">
        <v>9</v>
      </c>
      <c r="N50" s="339"/>
    </row>
    <row r="51" spans="1:14" ht="22.5">
      <c r="A51" s="138" t="s">
        <v>10</v>
      </c>
      <c r="B51" s="138" t="s">
        <v>11</v>
      </c>
      <c r="C51" s="138" t="s">
        <v>12</v>
      </c>
      <c r="D51" s="139" t="s">
        <v>13</v>
      </c>
      <c r="E51" s="343" t="s">
        <v>14</v>
      </c>
      <c r="F51" s="343"/>
      <c r="G51" s="140" t="s">
        <v>15</v>
      </c>
      <c r="H51" s="140" t="s">
        <v>16</v>
      </c>
      <c r="I51" s="141" t="s">
        <v>17</v>
      </c>
      <c r="J51" s="138" t="s">
        <v>18</v>
      </c>
      <c r="K51" s="138"/>
      <c r="L51" s="138" t="s">
        <v>19</v>
      </c>
      <c r="M51" s="138" t="s">
        <v>20</v>
      </c>
      <c r="N51" s="138" t="s">
        <v>21</v>
      </c>
    </row>
    <row r="52" spans="1:14" ht="22.5">
      <c r="A52" s="344"/>
      <c r="B52" s="344">
        <v>20</v>
      </c>
      <c r="C52" s="342"/>
      <c r="D52" s="85" t="s">
        <v>297</v>
      </c>
      <c r="E52" s="345" t="s">
        <v>298</v>
      </c>
      <c r="F52" s="345"/>
      <c r="G52" s="85" t="s">
        <v>299</v>
      </c>
      <c r="H52" s="85" t="s">
        <v>300</v>
      </c>
      <c r="I52" s="142">
        <v>1520</v>
      </c>
      <c r="J52" s="143">
        <f>IF(AND((STDEV(I$52:I$56)/AVERAGE(I$52:I$56))&lt;=0.25,ISNUMBER(I52)),I52,IF(AND(I52&lt;=(AVERAGE(I$52:I$56)+STDEV(I$52:I$56)),I52&gt;=(AVERAGE(I$52:I$56)-STDEV(I$52:I$56)),ISNUMBER(I52)),I52,""))</f>
        <v>1520</v>
      </c>
      <c r="K52" s="144" t="str">
        <f>IF(I52="","",IF(AND(COUNT(I$52:I$56)=1,ISNUMBER(I52)),"Sim",IF(AND((STDEV(J$52:J$56)/AVERAGE(J$52:J$56))&lt;0.25,ISNUMBER(J52)),"Sim",IF(AND(J52&lt;=(AVERAGE(J$52:J$56)+STDEV(J$52:J$56)),J52&gt;=(AVERAGE(J$52:J$56)-STDEV(J$52:J$56)),ISNUMBER(J52)),"Sim","Não"))))</f>
        <v>Sim</v>
      </c>
      <c r="L52" s="144">
        <f>IF(K52="Sim",J52,"")</f>
        <v>1520</v>
      </c>
      <c r="M52" s="340">
        <f>IF(I52="","",ROUND(IF(COUNT(I52:I56)=1,I52,IF((COUNT(L52:L56)&lt;3),MIN(L52:L56),AVERAGE(L52:L56))),2))</f>
        <v>1532.01</v>
      </c>
      <c r="N52" s="341">
        <f>IF(M52="","",C52*M52)</f>
        <v>0</v>
      </c>
    </row>
    <row r="53" spans="1:14">
      <c r="A53" s="344"/>
      <c r="B53" s="344"/>
      <c r="C53" s="342"/>
      <c r="D53" s="85" t="s">
        <v>44</v>
      </c>
      <c r="E53" s="345" t="s">
        <v>268</v>
      </c>
      <c r="F53" s="345"/>
      <c r="G53" s="85" t="s">
        <v>301</v>
      </c>
      <c r="H53" s="84" t="s">
        <v>302</v>
      </c>
      <c r="I53" s="142">
        <v>1618.05</v>
      </c>
      <c r="J53" s="143">
        <f>IF(AND((STDEV(I$52:I$56)/AVERAGE(I$52:I$56))&lt;=0.25,ISNUMBER(I53)),I53,IF(AND(I53&lt;=(AVERAGE(I$52:I$56)+STDEV(I$52:I$56)),I53&gt;=(AVERAGE(I$52:I$56)-STDEV(I$52:I$56)),ISNUMBER(I53)),I53,""))</f>
        <v>1618.05</v>
      </c>
      <c r="K53" s="144" t="str">
        <f>IF(I53="","",IF(AND(COUNT(I$52:I$56)=1,ISNUMBER(I53)),"Sim",IF(AND((STDEV(J$52:J$56)/AVERAGE(J$52:J$56))&lt;0.25,ISNUMBER(J53)),"Sim",IF(AND(J53&lt;=(AVERAGE(J$52:J$56)+STDEV(J$52:J$56)),J53&gt;=(AVERAGE(J$52:J$56)-STDEV(J$52:J$56)),ISNUMBER(J53)),"Sim","Não"))))</f>
        <v>Sim</v>
      </c>
      <c r="L53" s="144">
        <f t="shared" ref="L53:L56" si="7">IF(K53="Sim",J53,"")</f>
        <v>1618.05</v>
      </c>
      <c r="M53" s="340"/>
      <c r="N53" s="341"/>
    </row>
    <row r="54" spans="1:14">
      <c r="A54" s="344"/>
      <c r="B54" s="344"/>
      <c r="C54" s="342"/>
      <c r="D54" s="145" t="s">
        <v>32</v>
      </c>
      <c r="E54" s="286">
        <v>45807</v>
      </c>
      <c r="F54" s="287"/>
      <c r="G54" s="146" t="s">
        <v>289</v>
      </c>
      <c r="H54" s="84" t="s">
        <v>290</v>
      </c>
      <c r="I54" s="142">
        <v>1430</v>
      </c>
      <c r="J54" s="143">
        <f>IF(AND((STDEV(I$52:I$56)/AVERAGE(I$52:I$56))&lt;=0.25,ISNUMBER(I54)),I54,IF(AND(I54&lt;=(AVERAGE(I$52:I$56)+STDEV(I$52:I$56)),I54&gt;=(AVERAGE(I$52:I$56)-STDEV(I$52:I$56)),ISNUMBER(I54)),I54,""))</f>
        <v>1430</v>
      </c>
      <c r="K54" s="144" t="str">
        <f>IF(I54="","",IF(AND(COUNT(I$52:I$56)=1,ISNUMBER(I54)),"Sim",IF(AND((STDEV(J$52:J$56)/AVERAGE(J$52:J$56))&lt;0.25,ISNUMBER(J54)),"Sim",IF(AND(J54&lt;=(AVERAGE(J$52:J$56)+STDEV(J$52:J$56)),J54&gt;=(AVERAGE(J$52:J$56)-STDEV(J$52:J$56)),ISNUMBER(J54)),"Sim","Não"))))</f>
        <v>Sim</v>
      </c>
      <c r="L54" s="144">
        <f t="shared" si="7"/>
        <v>1430</v>
      </c>
      <c r="M54" s="340"/>
      <c r="N54" s="341"/>
    </row>
    <row r="55" spans="1:14">
      <c r="A55" s="344"/>
      <c r="B55" s="344"/>
      <c r="C55" s="342"/>
      <c r="D55" s="145" t="s">
        <v>32</v>
      </c>
      <c r="E55" s="286">
        <v>45807</v>
      </c>
      <c r="F55" s="287"/>
      <c r="G55" s="146" t="s">
        <v>303</v>
      </c>
      <c r="H55" s="84" t="s">
        <v>304</v>
      </c>
      <c r="I55" s="142">
        <v>2556.84</v>
      </c>
      <c r="J55" s="143" t="str">
        <f>IF(AND((STDEV(I$52:I$56)/AVERAGE(I$52:I$56))&lt;=0.25,ISNUMBER(I55)),I55,IF(AND(I55&lt;=(AVERAGE(I$52:I$56)+STDEV(I$52:I$56)),I55&gt;=(AVERAGE(I$52:I$56)-STDEV(I$52:I$56)),ISNUMBER(I55)),I55,""))</f>
        <v/>
      </c>
      <c r="K55" s="144" t="str">
        <f>IF(I55="","",IF(AND(COUNT(I$52:I$56)=1,ISNUMBER(I55)),"Sim",IF(AND((STDEV(J$52:J$56)/AVERAGE(J$52:J$56))&lt;0.25,ISNUMBER(J55)),"Sim",IF(AND(J55&lt;=(AVERAGE(J$52:J$56)+STDEV(J$52:J$56)),J55&gt;=(AVERAGE(J$52:J$56)-STDEV(J$52:J$56)),ISNUMBER(J55)),"Sim","Não"))))</f>
        <v>Não</v>
      </c>
      <c r="L55" s="144" t="str">
        <f t="shared" si="7"/>
        <v/>
      </c>
      <c r="M55" s="340"/>
      <c r="N55" s="341"/>
    </row>
    <row r="56" spans="1:14">
      <c r="A56" s="344"/>
      <c r="B56" s="344"/>
      <c r="C56" s="342"/>
      <c r="D56" s="145" t="s">
        <v>32</v>
      </c>
      <c r="E56" s="286">
        <v>45807</v>
      </c>
      <c r="F56" s="287"/>
      <c r="G56" s="146" t="s">
        <v>278</v>
      </c>
      <c r="H56" s="156" t="s">
        <v>279</v>
      </c>
      <c r="I56" s="142">
        <v>1560</v>
      </c>
      <c r="J56" s="143">
        <f>IF(AND((STDEV(I$52:I$56)/AVERAGE(I$52:I$56))&lt;=0.25,ISNUMBER(I56)),I56,IF(AND(I56&lt;=(AVERAGE(I$52:I$56)+STDEV(I$52:I$56)),I56&gt;=(AVERAGE(I$52:I$56)-STDEV(I$52:I$56)),ISNUMBER(I56)),I56,""))</f>
        <v>1560</v>
      </c>
      <c r="K56" s="144" t="str">
        <f>IF(I56="","",IF(AND(COUNT(I$52:I$56)=1,ISNUMBER(I56)),"Sim",IF(AND((STDEV(J$52:J$56)/AVERAGE(J$52:J$56))&lt;0.25,ISNUMBER(J56)),"Sim",IF(AND(J56&lt;=(AVERAGE(J$52:J$56)+STDEV(J$52:J$56)),J56&gt;=(AVERAGE(J$52:J$56)-STDEV(J$52:J$56)),ISNUMBER(J56)),"Sim","Não"))))</f>
        <v>Sim</v>
      </c>
      <c r="L56" s="144">
        <f t="shared" si="7"/>
        <v>1560</v>
      </c>
      <c r="M56" s="340"/>
      <c r="N56" s="341"/>
    </row>
  </sheetData>
  <mergeCells count="105">
    <mergeCell ref="A1:E1"/>
    <mergeCell ref="F1:H1"/>
    <mergeCell ref="I1:N1"/>
    <mergeCell ref="A41:A45"/>
    <mergeCell ref="B41:B45"/>
    <mergeCell ref="C41:C45"/>
    <mergeCell ref="M38:N38"/>
    <mergeCell ref="M39:N39"/>
    <mergeCell ref="E40:F40"/>
    <mergeCell ref="E43:F43"/>
    <mergeCell ref="E44:F44"/>
    <mergeCell ref="E45:F45"/>
    <mergeCell ref="M41:M45"/>
    <mergeCell ref="N41:N45"/>
    <mergeCell ref="E41:F41"/>
    <mergeCell ref="E42:F42"/>
    <mergeCell ref="A8:A14"/>
    <mergeCell ref="B8:B14"/>
    <mergeCell ref="C8:C14"/>
    <mergeCell ref="E8:F8"/>
    <mergeCell ref="A4:E4"/>
    <mergeCell ref="F4:H4"/>
    <mergeCell ref="I4:L4"/>
    <mergeCell ref="M4:N4"/>
    <mergeCell ref="A5:E6"/>
    <mergeCell ref="F5:H6"/>
    <mergeCell ref="I5:L6"/>
    <mergeCell ref="M5:N5"/>
    <mergeCell ref="M6:N6"/>
    <mergeCell ref="N8:N14"/>
    <mergeCell ref="E9:F9"/>
    <mergeCell ref="E10:F10"/>
    <mergeCell ref="E11:F11"/>
    <mergeCell ref="E12:F12"/>
    <mergeCell ref="E13:F13"/>
    <mergeCell ref="E14:F14"/>
    <mergeCell ref="M8:M14"/>
    <mergeCell ref="E7:F7"/>
    <mergeCell ref="A16:E16"/>
    <mergeCell ref="F16:H16"/>
    <mergeCell ref="I16:L16"/>
    <mergeCell ref="M16:N16"/>
    <mergeCell ref="A17:E18"/>
    <mergeCell ref="F17:H18"/>
    <mergeCell ref="I17:L18"/>
    <mergeCell ref="M17:N17"/>
    <mergeCell ref="M18:N18"/>
    <mergeCell ref="N20:N24"/>
    <mergeCell ref="E21:F21"/>
    <mergeCell ref="E22:F22"/>
    <mergeCell ref="E23:F23"/>
    <mergeCell ref="E24:F24"/>
    <mergeCell ref="M20:M24"/>
    <mergeCell ref="E19:F19"/>
    <mergeCell ref="A20:A24"/>
    <mergeCell ref="B20:B24"/>
    <mergeCell ref="C20:C24"/>
    <mergeCell ref="E20:F20"/>
    <mergeCell ref="E30:F30"/>
    <mergeCell ref="A31:A35"/>
    <mergeCell ref="B31:B35"/>
    <mergeCell ref="C31:C35"/>
    <mergeCell ref="E31:F31"/>
    <mergeCell ref="A27:E27"/>
    <mergeCell ref="F27:H27"/>
    <mergeCell ref="I27:L27"/>
    <mergeCell ref="M27:N27"/>
    <mergeCell ref="A28:E29"/>
    <mergeCell ref="F28:H29"/>
    <mergeCell ref="I28:L29"/>
    <mergeCell ref="M28:N28"/>
    <mergeCell ref="M29:N29"/>
    <mergeCell ref="F37:H37"/>
    <mergeCell ref="I37:L37"/>
    <mergeCell ref="M37:N37"/>
    <mergeCell ref="A38:E39"/>
    <mergeCell ref="F38:H39"/>
    <mergeCell ref="I38:L39"/>
    <mergeCell ref="A37:E37"/>
    <mergeCell ref="N31:N35"/>
    <mergeCell ref="E32:F32"/>
    <mergeCell ref="E33:F33"/>
    <mergeCell ref="E34:F34"/>
    <mergeCell ref="E35:F35"/>
    <mergeCell ref="M31:M35"/>
    <mergeCell ref="I48:L48"/>
    <mergeCell ref="M48:N48"/>
    <mergeCell ref="A49:E50"/>
    <mergeCell ref="F49:H50"/>
    <mergeCell ref="I49:L50"/>
    <mergeCell ref="M49:N49"/>
    <mergeCell ref="M50:N50"/>
    <mergeCell ref="M52:M56"/>
    <mergeCell ref="N52:N56"/>
    <mergeCell ref="C52:C56"/>
    <mergeCell ref="E51:F51"/>
    <mergeCell ref="A52:A56"/>
    <mergeCell ref="B52:B56"/>
    <mergeCell ref="E52:F52"/>
    <mergeCell ref="E53:F53"/>
    <mergeCell ref="E54:F54"/>
    <mergeCell ref="E55:F55"/>
    <mergeCell ref="E56:F56"/>
    <mergeCell ref="A48:E48"/>
    <mergeCell ref="F48:H48"/>
  </mergeCells>
  <hyperlinks>
    <hyperlink ref="G11" r:id="rId1" xr:uid="{361DF037-7B70-42F4-8969-671BEDC706D6}"/>
    <hyperlink ref="G12" r:id="rId2" xr:uid="{7CD4064A-1DEE-4569-A9D9-EECE95EC6106}"/>
    <hyperlink ref="G13" r:id="rId3" xr:uid="{547CFD8C-877C-4E79-B029-70118DF3F1CD}"/>
    <hyperlink ref="G33" r:id="rId4" xr:uid="{64313ED0-ED2D-4095-914B-926D543842C0}"/>
    <hyperlink ref="G34" r:id="rId5" xr:uid="{BEBBD9C2-918F-46BA-8797-4524BE21EDFD}"/>
    <hyperlink ref="G22" r:id="rId6" xr:uid="{45678E43-5D3B-487D-B21D-3E4A20721F59}"/>
    <hyperlink ref="G10" r:id="rId7" xr:uid="{F17D304C-EF51-4C22-AF69-945C60DA6BBE}"/>
    <hyperlink ref="G14" r:id="rId8" xr:uid="{E176C512-0559-41BD-848F-63BB32F4FD84}"/>
    <hyperlink ref="G23" r:id="rId9" xr:uid="{CD140DE6-A061-4B15-855D-42A4816BEE20}"/>
    <hyperlink ref="G24" r:id="rId10" xr:uid="{D493B09C-7418-48EF-96F8-E7AA32DD991D}"/>
    <hyperlink ref="G35" r:id="rId11" xr:uid="{3C94EA5D-E895-4354-B443-82D535FB28AC}"/>
    <hyperlink ref="G43" r:id="rId12" xr:uid="{62D0E3E5-6A78-480E-BB5C-1BC1E2FDC24C}"/>
    <hyperlink ref="G44" r:id="rId13" xr:uid="{FD5663D8-D7DF-4FF3-AA80-B1CD97223C59}"/>
    <hyperlink ref="G45" r:id="rId14" xr:uid="{3AB5A900-70F2-4229-90D0-331FAA0EACA9}"/>
    <hyperlink ref="G54" r:id="rId15" xr:uid="{77244101-EFC7-414F-9A83-C6A9AC9C5112}"/>
    <hyperlink ref="G55" r:id="rId16" xr:uid="{0AECB139-5BCD-46C4-8179-84A84104A851}"/>
    <hyperlink ref="G56" r:id="rId17" xr:uid="{4C3C8C6A-B0A3-43DD-AF60-325F979EA8B6}"/>
  </hyperlinks>
  <pageMargins left="0.511811024" right="0.511811024" top="0.78740157499999996" bottom="0.78740157499999996" header="0.31496062000000002" footer="0.31496062000000002"/>
  <drawing r:id="rId1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238EC-5788-4438-B76D-BB15FA8530E7}">
  <dimension ref="A1:R138"/>
  <sheetViews>
    <sheetView workbookViewId="0">
      <selection activeCell="M134" sqref="M134:M138"/>
    </sheetView>
  </sheetViews>
  <sheetFormatPr defaultColWidth="9.140625" defaultRowHeight="15"/>
  <cols>
    <col min="1" max="1" width="5.5703125" style="9" bestFit="1" customWidth="1"/>
    <col min="2" max="2" width="5.42578125" style="9" bestFit="1" customWidth="1"/>
    <col min="3" max="3" width="4.5703125" style="17" customWidth="1"/>
    <col min="4" max="4" width="12.28515625" style="112" customWidth="1"/>
    <col min="5" max="5" width="4.85546875" style="112" customWidth="1"/>
    <col min="6" max="6" width="8.5703125" style="112" customWidth="1"/>
    <col min="7" max="7" width="62.5703125" style="9" customWidth="1"/>
    <col min="8" max="8" width="66.140625" style="17" customWidth="1"/>
    <col min="9" max="9" width="7.85546875" style="17" customWidth="1"/>
    <col min="10" max="10" width="8" style="17" customWidth="1"/>
    <col min="11" max="11" width="4.85546875" style="17" bestFit="1" customWidth="1"/>
    <col min="12" max="12" width="7.42578125" style="17" bestFit="1" customWidth="1"/>
    <col min="13" max="13" width="13.28515625" style="17" customWidth="1"/>
    <col min="14" max="14" width="8.42578125" style="17" customWidth="1"/>
    <col min="15" max="15" width="2.5703125" style="17" customWidth="1"/>
    <col min="16" max="16" width="13.7109375" style="9" customWidth="1"/>
    <col min="17" max="17" width="1.7109375" style="1" customWidth="1"/>
    <col min="18" max="16384" width="9.140625" style="1"/>
  </cols>
  <sheetData>
    <row r="1" spans="1:18" ht="33" customHeight="1">
      <c r="A1" s="302"/>
      <c r="B1" s="302"/>
      <c r="C1" s="302"/>
      <c r="D1" s="302"/>
      <c r="E1" s="303"/>
      <c r="F1" s="304" t="s">
        <v>0</v>
      </c>
      <c r="G1" s="305"/>
      <c r="H1" s="305"/>
      <c r="I1" s="306" t="s">
        <v>1</v>
      </c>
      <c r="J1" s="307"/>
      <c r="K1" s="307"/>
      <c r="L1" s="307"/>
      <c r="M1" s="307"/>
      <c r="N1" s="308"/>
      <c r="P1" s="35"/>
    </row>
    <row r="2" spans="1:18">
      <c r="C2" s="10"/>
      <c r="D2" s="11"/>
      <c r="E2" s="11"/>
      <c r="F2" s="11"/>
      <c r="G2" s="22"/>
      <c r="H2" s="20"/>
      <c r="I2" s="21"/>
      <c r="J2" s="14"/>
      <c r="K2" s="15"/>
      <c r="L2" s="15"/>
      <c r="M2" s="16"/>
      <c r="N2" s="16"/>
      <c r="P2" s="37"/>
      <c r="Q2" s="3"/>
      <c r="R2" s="3"/>
    </row>
    <row r="3" spans="1:18">
      <c r="G3" s="39"/>
      <c r="P3" s="37"/>
      <c r="Q3" s="3"/>
      <c r="R3" s="3"/>
    </row>
    <row r="4" spans="1:18">
      <c r="A4" s="260" t="s">
        <v>2</v>
      </c>
      <c r="B4" s="261"/>
      <c r="C4" s="261"/>
      <c r="D4" s="261"/>
      <c r="E4" s="262"/>
      <c r="F4" s="260" t="s">
        <v>3</v>
      </c>
      <c r="G4" s="261"/>
      <c r="H4" s="261"/>
      <c r="I4" s="260" t="s">
        <v>4</v>
      </c>
      <c r="J4" s="261"/>
      <c r="K4" s="261"/>
      <c r="L4" s="262"/>
      <c r="M4" s="260" t="s">
        <v>5</v>
      </c>
      <c r="N4" s="262"/>
      <c r="P4" s="37"/>
      <c r="Q4" s="3"/>
      <c r="R4" s="3"/>
    </row>
    <row r="5" spans="1:18">
      <c r="A5" s="263"/>
      <c r="B5" s="264"/>
      <c r="C5" s="264"/>
      <c r="D5" s="264"/>
      <c r="E5" s="265"/>
      <c r="F5" s="288" t="s">
        <v>305</v>
      </c>
      <c r="G5" s="289"/>
      <c r="H5" s="289"/>
      <c r="I5" s="269" t="s">
        <v>7</v>
      </c>
      <c r="J5" s="270"/>
      <c r="K5" s="270"/>
      <c r="L5" s="273"/>
      <c r="M5" s="271" t="s">
        <v>8</v>
      </c>
      <c r="N5" s="274"/>
      <c r="P5" s="37"/>
      <c r="Q5" s="3"/>
      <c r="R5" s="3"/>
    </row>
    <row r="6" spans="1:18">
      <c r="A6" s="266"/>
      <c r="B6" s="267"/>
      <c r="C6" s="267"/>
      <c r="D6" s="267"/>
      <c r="E6" s="268"/>
      <c r="F6" s="290"/>
      <c r="G6" s="291"/>
      <c r="H6" s="291"/>
      <c r="I6" s="271"/>
      <c r="J6" s="272"/>
      <c r="K6" s="272"/>
      <c r="L6" s="274"/>
      <c r="M6" s="275" t="s">
        <v>9</v>
      </c>
      <c r="N6" s="276"/>
      <c r="P6" s="37"/>
      <c r="Q6" s="3"/>
      <c r="R6" s="3"/>
    </row>
    <row r="7" spans="1:18" ht="22.5">
      <c r="A7" s="4" t="s">
        <v>10</v>
      </c>
      <c r="B7" s="4" t="s">
        <v>11</v>
      </c>
      <c r="C7" s="4" t="s">
        <v>12</v>
      </c>
      <c r="D7" s="5" t="s">
        <v>13</v>
      </c>
      <c r="E7" s="277" t="s">
        <v>14</v>
      </c>
      <c r="F7" s="277"/>
      <c r="G7" s="24" t="s">
        <v>15</v>
      </c>
      <c r="H7" s="24" t="s">
        <v>16</v>
      </c>
      <c r="I7" s="25" t="s">
        <v>17</v>
      </c>
      <c r="J7" s="4" t="s">
        <v>18</v>
      </c>
      <c r="K7" s="4"/>
      <c r="L7" s="4" t="s">
        <v>19</v>
      </c>
      <c r="M7" s="4" t="s">
        <v>20</v>
      </c>
      <c r="N7" s="4" t="s">
        <v>21</v>
      </c>
      <c r="P7" s="37"/>
      <c r="Q7" s="3"/>
      <c r="R7" s="3"/>
    </row>
    <row r="8" spans="1:18" ht="22.5">
      <c r="A8" s="278"/>
      <c r="B8" s="278">
        <v>21</v>
      </c>
      <c r="C8" s="279"/>
      <c r="D8" s="83" t="s">
        <v>306</v>
      </c>
      <c r="E8" s="283" t="s">
        <v>307</v>
      </c>
      <c r="F8" s="283"/>
      <c r="G8" s="78" t="s">
        <v>308</v>
      </c>
      <c r="H8" s="83" t="s">
        <v>309</v>
      </c>
      <c r="I8" s="75">
        <v>36.99</v>
      </c>
      <c r="J8" s="76">
        <f t="shared" ref="J8:J13" si="0">IF(AND((STDEV(I$8:I$13)/AVERAGE(I$8:I$13))&lt;=0.25,ISNUMBER(I8)),I8,IF(AND(I8&lt;=(AVERAGE(I$8:I$13)+STDEV(I$8:I$13)),I8&gt;=(AVERAGE(I$8:I$13)-STDEV(I$8:I$13)),ISNUMBER(I8)),I8,""))</f>
        <v>36.99</v>
      </c>
      <c r="K8" s="77" t="str">
        <f t="shared" ref="K8:K13" si="1">IF(I8="","",IF(AND(COUNT(I$8:I$13)=1,ISNUMBER(I8)),"Sim",IF(AND((STDEV(J$8:J$13)/AVERAGE(J$8:J$13))&lt;0.25,ISNUMBER(J8)),"Sim",IF(AND(J8&lt;=(AVERAGE(J$8:J$13)+STDEV(J$8:J$13)),J8&gt;=(AVERAGE(J$8:J$13)-STDEV(J$8:J$13)),ISNUMBER(J8)),"Sim","Não"))))</f>
        <v>Sim</v>
      </c>
      <c r="L8" s="77">
        <f>IF(K8="Sim",J8,"")</f>
        <v>36.99</v>
      </c>
      <c r="M8" s="281">
        <f>IF(I8="","",ROUND(IF(COUNT(I8:I13)=1,I8,IF((COUNT(L8:L13)&lt;3),MIN(L8:L13),AVERAGE(L8:L13))),2))</f>
        <v>36.33</v>
      </c>
      <c r="N8" s="282">
        <f>IF(M8="","",C8*M8)</f>
        <v>0</v>
      </c>
      <c r="P8" s="37"/>
      <c r="Q8" s="3"/>
      <c r="R8" s="3"/>
    </row>
    <row r="9" spans="1:18" ht="22.5">
      <c r="A9" s="278"/>
      <c r="B9" s="278"/>
      <c r="C9" s="279"/>
      <c r="D9" s="116" t="s">
        <v>57</v>
      </c>
      <c r="E9" s="373" t="s">
        <v>310</v>
      </c>
      <c r="F9" s="373"/>
      <c r="G9" s="83" t="s">
        <v>311</v>
      </c>
      <c r="H9" s="78" t="s">
        <v>312</v>
      </c>
      <c r="I9" s="75">
        <v>34.5</v>
      </c>
      <c r="J9" s="76">
        <f t="shared" si="0"/>
        <v>34.5</v>
      </c>
      <c r="K9" s="77" t="str">
        <f t="shared" si="1"/>
        <v>Sim</v>
      </c>
      <c r="L9" s="77">
        <f t="shared" ref="L9:L13" si="2">IF(K9="Sim",J9,"")</f>
        <v>34.5</v>
      </c>
      <c r="M9" s="281"/>
      <c r="N9" s="282"/>
      <c r="P9" s="37"/>
      <c r="Q9" s="3"/>
      <c r="R9" s="3"/>
    </row>
    <row r="10" spans="1:18">
      <c r="A10" s="278"/>
      <c r="B10" s="278"/>
      <c r="C10" s="279"/>
      <c r="D10" s="80" t="s">
        <v>32</v>
      </c>
      <c r="E10" s="286">
        <v>45807</v>
      </c>
      <c r="F10" s="287"/>
      <c r="G10" s="105" t="s">
        <v>97</v>
      </c>
      <c r="H10" s="82" t="s">
        <v>98</v>
      </c>
      <c r="I10" s="75">
        <v>33.5</v>
      </c>
      <c r="J10" s="76">
        <f t="shared" si="0"/>
        <v>33.5</v>
      </c>
      <c r="K10" s="77" t="str">
        <f t="shared" si="1"/>
        <v>Sim</v>
      </c>
      <c r="L10" s="77">
        <f t="shared" si="2"/>
        <v>33.5</v>
      </c>
      <c r="M10" s="281"/>
      <c r="N10" s="282"/>
      <c r="P10" s="37"/>
      <c r="Q10" s="3"/>
      <c r="R10" s="3"/>
    </row>
    <row r="11" spans="1:18">
      <c r="A11" s="278"/>
      <c r="B11" s="278"/>
      <c r="C11" s="279"/>
      <c r="D11" s="80" t="s">
        <v>32</v>
      </c>
      <c r="E11" s="286">
        <v>45807</v>
      </c>
      <c r="F11" s="287"/>
      <c r="G11" s="105" t="s">
        <v>170</v>
      </c>
      <c r="H11" s="82" t="s">
        <v>313</v>
      </c>
      <c r="I11" s="75">
        <v>45</v>
      </c>
      <c r="J11" s="76">
        <f t="shared" si="0"/>
        <v>45</v>
      </c>
      <c r="K11" s="77" t="str">
        <f t="shared" si="1"/>
        <v>Sim</v>
      </c>
      <c r="L11" s="77">
        <f t="shared" si="2"/>
        <v>45</v>
      </c>
      <c r="M11" s="281"/>
      <c r="N11" s="282"/>
      <c r="P11" s="37"/>
      <c r="Q11" s="3"/>
      <c r="R11" s="3"/>
    </row>
    <row r="12" spans="1:18">
      <c r="A12" s="278"/>
      <c r="B12" s="278"/>
      <c r="C12" s="279"/>
      <c r="D12" s="80" t="s">
        <v>32</v>
      </c>
      <c r="E12" s="286">
        <v>45807</v>
      </c>
      <c r="F12" s="287"/>
      <c r="G12" s="105" t="s">
        <v>314</v>
      </c>
      <c r="H12" s="82" t="s">
        <v>315</v>
      </c>
      <c r="I12" s="75">
        <v>35</v>
      </c>
      <c r="J12" s="76">
        <f t="shared" si="0"/>
        <v>35</v>
      </c>
      <c r="K12" s="77" t="str">
        <f t="shared" si="1"/>
        <v>Sim</v>
      </c>
      <c r="L12" s="77">
        <f t="shared" si="2"/>
        <v>35</v>
      </c>
      <c r="M12" s="281"/>
      <c r="N12" s="282"/>
      <c r="P12" s="37"/>
      <c r="Q12" s="3"/>
      <c r="R12" s="3"/>
    </row>
    <row r="13" spans="1:18">
      <c r="A13" s="278"/>
      <c r="B13" s="278"/>
      <c r="C13" s="279"/>
      <c r="D13" s="80" t="s">
        <v>32</v>
      </c>
      <c r="E13" s="286">
        <v>45807</v>
      </c>
      <c r="F13" s="287"/>
      <c r="G13" s="100" t="s">
        <v>316</v>
      </c>
      <c r="H13" s="96" t="s">
        <v>317</v>
      </c>
      <c r="I13" s="102">
        <v>33</v>
      </c>
      <c r="J13" s="76">
        <f t="shared" si="0"/>
        <v>33</v>
      </c>
      <c r="K13" s="77" t="str">
        <f t="shared" si="1"/>
        <v>Sim</v>
      </c>
      <c r="L13" s="77">
        <f t="shared" si="2"/>
        <v>33</v>
      </c>
      <c r="M13" s="281"/>
      <c r="N13" s="282"/>
      <c r="P13" s="37"/>
      <c r="Q13" s="3"/>
      <c r="R13" s="3"/>
    </row>
    <row r="14" spans="1:18">
      <c r="P14" s="37"/>
      <c r="Q14" s="3"/>
      <c r="R14" s="3"/>
    </row>
    <row r="15" spans="1:18">
      <c r="A15" s="260" t="s">
        <v>2</v>
      </c>
      <c r="B15" s="261"/>
      <c r="C15" s="261"/>
      <c r="D15" s="261"/>
      <c r="E15" s="262"/>
      <c r="F15" s="260" t="s">
        <v>3</v>
      </c>
      <c r="G15" s="261"/>
      <c r="H15" s="261"/>
      <c r="I15" s="260" t="s">
        <v>4</v>
      </c>
      <c r="J15" s="261"/>
      <c r="K15" s="261"/>
      <c r="L15" s="262"/>
      <c r="M15" s="260" t="s">
        <v>5</v>
      </c>
      <c r="N15" s="262"/>
      <c r="P15" s="37"/>
      <c r="Q15" s="3"/>
      <c r="R15" s="3"/>
    </row>
    <row r="16" spans="1:18">
      <c r="A16" s="263"/>
      <c r="B16" s="264"/>
      <c r="C16" s="264"/>
      <c r="D16" s="264"/>
      <c r="E16" s="265"/>
      <c r="F16" s="288" t="s">
        <v>318</v>
      </c>
      <c r="G16" s="289"/>
      <c r="H16" s="289"/>
      <c r="I16" s="269" t="s">
        <v>7</v>
      </c>
      <c r="J16" s="270"/>
      <c r="K16" s="270"/>
      <c r="L16" s="273"/>
      <c r="M16" s="335" t="s">
        <v>8</v>
      </c>
      <c r="N16" s="337"/>
      <c r="P16" s="37"/>
      <c r="Q16" s="3"/>
      <c r="R16" s="3"/>
    </row>
    <row r="17" spans="1:18">
      <c r="A17" s="266"/>
      <c r="B17" s="267"/>
      <c r="C17" s="267"/>
      <c r="D17" s="267"/>
      <c r="E17" s="268"/>
      <c r="F17" s="290"/>
      <c r="G17" s="291"/>
      <c r="H17" s="291"/>
      <c r="I17" s="271"/>
      <c r="J17" s="272"/>
      <c r="K17" s="272"/>
      <c r="L17" s="274"/>
      <c r="M17" s="275" t="s">
        <v>9</v>
      </c>
      <c r="N17" s="276"/>
      <c r="P17" s="37"/>
      <c r="Q17" s="3"/>
      <c r="R17" s="3"/>
    </row>
    <row r="18" spans="1:18" ht="22.5">
      <c r="A18" s="38" t="s">
        <v>10</v>
      </c>
      <c r="B18" s="38" t="s">
        <v>11</v>
      </c>
      <c r="C18" s="38" t="s">
        <v>12</v>
      </c>
      <c r="D18" s="5" t="s">
        <v>13</v>
      </c>
      <c r="E18" s="277" t="s">
        <v>14</v>
      </c>
      <c r="F18" s="277"/>
      <c r="G18" s="24" t="s">
        <v>15</v>
      </c>
      <c r="H18" s="24" t="s">
        <v>16</v>
      </c>
      <c r="I18" s="25" t="s">
        <v>17</v>
      </c>
      <c r="J18" s="4" t="s">
        <v>18</v>
      </c>
      <c r="K18" s="4"/>
      <c r="L18" s="4" t="s">
        <v>19</v>
      </c>
      <c r="M18" s="38" t="s">
        <v>20</v>
      </c>
      <c r="N18" s="38" t="s">
        <v>21</v>
      </c>
      <c r="P18" s="37"/>
      <c r="Q18" s="3"/>
      <c r="R18" s="3"/>
    </row>
    <row r="19" spans="1:18">
      <c r="A19" s="159"/>
      <c r="B19" s="379">
        <v>22</v>
      </c>
      <c r="C19" s="380"/>
      <c r="D19" s="121" t="s">
        <v>57</v>
      </c>
      <c r="E19" s="285" t="s">
        <v>105</v>
      </c>
      <c r="F19" s="285"/>
      <c r="G19" s="160" t="s">
        <v>319</v>
      </c>
      <c r="H19" s="160" t="s">
        <v>320</v>
      </c>
      <c r="I19" s="161">
        <v>15.77</v>
      </c>
      <c r="J19" s="76">
        <f>IF(AND((STDEV(I$19:I$23)/AVERAGE(I$19:I$23))&lt;=0.25,ISNUMBER(I19)),I19,IF(AND(I19&lt;=(AVERAGE(I$19:I$23)+STDEV(I$19:I$23)),I19&gt;=(AVERAGE(I$19:I$23)-STDEV(I$19:I$23)),ISNUMBER(I19)),I19,""))</f>
        <v>15.77</v>
      </c>
      <c r="K19" s="77" t="str">
        <f>IF(I19="","",IF(AND(COUNT(I$19:I$23)=1,ISNUMBER(I19)),"Sim",IF(AND((STDEV(J$19:J$23)/AVERAGE(J$19:J$23))&lt;0.25,ISNUMBER(J19)),"Sim",IF(AND(J19&lt;=(AVERAGE(J$19:J$23)+STDEV(J$19:J$23)),J19&gt;=(AVERAGE(J$19:J$23)-STDEV(J$19:J$23)),ISNUMBER(J19)),"Sim","Não"))))</f>
        <v>Sim</v>
      </c>
      <c r="L19" s="162">
        <f t="shared" ref="L19:L20" si="3">IF(K19="Sim",J19,"")</f>
        <v>15.77</v>
      </c>
      <c r="M19" s="281">
        <f>IF(I19="","",ROUND(IF(COUNT(I19:I23)=1,I19,IF((COUNT(L19:L23)&lt;3),MIN(L19:L23),AVERAGE(L19:L23))),2))</f>
        <v>16.420000000000002</v>
      </c>
      <c r="N19" s="282"/>
      <c r="P19" s="37"/>
      <c r="Q19" s="3"/>
      <c r="R19" s="3"/>
    </row>
    <row r="20" spans="1:18">
      <c r="A20" s="163"/>
      <c r="B20" s="379"/>
      <c r="C20" s="380"/>
      <c r="D20" s="116" t="s">
        <v>133</v>
      </c>
      <c r="E20" s="285" t="s">
        <v>321</v>
      </c>
      <c r="F20" s="285"/>
      <c r="G20" s="160" t="s">
        <v>322</v>
      </c>
      <c r="H20" s="160" t="s">
        <v>320</v>
      </c>
      <c r="I20" s="161">
        <v>18.5</v>
      </c>
      <c r="J20" s="76">
        <f>IF(AND((STDEV(I$19:I$23)/AVERAGE(I$19:I$23))&lt;=0.25,ISNUMBER(I20)),I20,IF(AND(I20&lt;=(AVERAGE(I$19:I$23)+STDEV(I$19:I$23)),I20&gt;=(AVERAGE(I$19:I$23)-STDEV(I$19:I$23)),ISNUMBER(I20)),I20,""))</f>
        <v>18.5</v>
      </c>
      <c r="K20" s="77" t="str">
        <f>IF(I20="","",IF(AND(COUNT(I$19:I$23)=1,ISNUMBER(I20)),"Sim",IF(AND((STDEV(J$19:J$23)/AVERAGE(J$19:J$23))&lt;0.25,ISNUMBER(J20)),"Sim",IF(AND(J20&lt;=(AVERAGE(J$19:J$23)+STDEV(J$19:J$23)),J20&gt;=(AVERAGE(J$19:J$23)-STDEV(J$19:J$23)),ISNUMBER(J20)),"Sim","Não"))))</f>
        <v>Sim</v>
      </c>
      <c r="L20" s="162">
        <f t="shared" si="3"/>
        <v>18.5</v>
      </c>
      <c r="M20" s="281"/>
      <c r="N20" s="282"/>
      <c r="P20" s="37"/>
      <c r="Q20" s="3"/>
      <c r="R20" s="3"/>
    </row>
    <row r="21" spans="1:18">
      <c r="A21" s="378"/>
      <c r="B21" s="379"/>
      <c r="C21" s="380"/>
      <c r="D21" s="92" t="s">
        <v>32</v>
      </c>
      <c r="E21" s="286">
        <v>45807</v>
      </c>
      <c r="F21" s="287"/>
      <c r="G21" s="105" t="s">
        <v>314</v>
      </c>
      <c r="H21" s="82" t="s">
        <v>315</v>
      </c>
      <c r="I21" s="75">
        <v>22.99</v>
      </c>
      <c r="J21" s="76" t="str">
        <f>IF(AND((STDEV(I$19:I$23)/AVERAGE(I$19:I$23))&lt;=0.25,ISNUMBER(I21)),I21,IF(AND(I21&lt;=(AVERAGE(I$19:I$23)+STDEV(I$19:I$23)),I21&gt;=(AVERAGE(I$19:I$23)-STDEV(I$19:I$23)),ISNUMBER(I21)),I21,""))</f>
        <v/>
      </c>
      <c r="K21" s="77" t="str">
        <f>IF(I21="","",IF(AND(COUNT(I$19:I$23)=1,ISNUMBER(I21)),"Sim",IF(AND((STDEV(J$19:J$23)/AVERAGE(J$19:J$23))&lt;0.25,ISNUMBER(J21)),"Sim",IF(AND(J21&lt;=(AVERAGE(J$19:J$23)+STDEV(J$19:J$23)),J21&gt;=(AVERAGE(J$19:J$23)-STDEV(J$19:J$23)),ISNUMBER(J21)),"Sim","Não"))))</f>
        <v>Não</v>
      </c>
      <c r="L21" s="162" t="str">
        <f t="shared" ref="L21:L23" si="4">IF(K21="Sim",J21,"")</f>
        <v/>
      </c>
      <c r="M21" s="281"/>
      <c r="N21" s="282"/>
      <c r="P21" s="37"/>
      <c r="Q21" s="3"/>
      <c r="R21" s="3"/>
    </row>
    <row r="22" spans="1:18">
      <c r="A22" s="378"/>
      <c r="B22" s="379"/>
      <c r="C22" s="380"/>
      <c r="D22" s="92" t="s">
        <v>32</v>
      </c>
      <c r="E22" s="286">
        <v>45807</v>
      </c>
      <c r="F22" s="287"/>
      <c r="G22" s="111" t="s">
        <v>97</v>
      </c>
      <c r="H22" s="82" t="s">
        <v>98</v>
      </c>
      <c r="I22" s="75">
        <v>10</v>
      </c>
      <c r="J22" s="76" t="str">
        <f>IF(AND((STDEV(I$19:I$23)/AVERAGE(I$19:I$23))&lt;=0.25,ISNUMBER(I22)),I22,IF(AND(I22&lt;=(AVERAGE(I$19:I$23)+STDEV(I$19:I$23)),I22&gt;=(AVERAGE(I$19:I$23)-STDEV(I$19:I$23)),ISNUMBER(I22)),I22,""))</f>
        <v/>
      </c>
      <c r="K22" s="77" t="str">
        <f>IF(I22="","",IF(AND(COUNT(I$19:I$23)=1,ISNUMBER(I22)),"Sim",IF(AND((STDEV(J$19:J$23)/AVERAGE(J$19:J$23))&lt;0.25,ISNUMBER(J22)),"Sim",IF(AND(J22&lt;=(AVERAGE(J$19:J$23)+STDEV(J$19:J$23)),J22&gt;=(AVERAGE(J$19:J$23)-STDEV(J$19:J$23)),ISNUMBER(J22)),"Sim","Não"))))</f>
        <v>Não</v>
      </c>
      <c r="L22" s="162" t="str">
        <f t="shared" si="4"/>
        <v/>
      </c>
      <c r="M22" s="281"/>
      <c r="N22" s="282"/>
      <c r="P22" s="37"/>
      <c r="Q22" s="3"/>
      <c r="R22" s="3"/>
    </row>
    <row r="23" spans="1:18">
      <c r="A23" s="378"/>
      <c r="B23" s="379"/>
      <c r="C23" s="380"/>
      <c r="D23" s="80" t="s">
        <v>32</v>
      </c>
      <c r="E23" s="286">
        <v>45807</v>
      </c>
      <c r="F23" s="287"/>
      <c r="G23" s="164" t="s">
        <v>316</v>
      </c>
      <c r="H23" s="82" t="s">
        <v>323</v>
      </c>
      <c r="I23" s="75">
        <v>15</v>
      </c>
      <c r="J23" s="76">
        <f>IF(AND((STDEV(I$19:I$23)/AVERAGE(I$19:I$23))&lt;=0.25,ISNUMBER(I23)),I23,IF(AND(I23&lt;=(AVERAGE(I$19:I$23)+STDEV(I$19:I$23)),I23&gt;=(AVERAGE(I$19:I$23)-STDEV(I$19:I$23)),ISNUMBER(I23)),I23,""))</f>
        <v>15</v>
      </c>
      <c r="K23" s="77" t="str">
        <f>IF(I23="","",IF(AND(COUNT(I$19:I$23)=1,ISNUMBER(I23)),"Sim",IF(AND((STDEV(J$19:J$23)/AVERAGE(J$19:J$23))&lt;0.25,ISNUMBER(J23)),"Sim",IF(AND(J23&lt;=(AVERAGE(J$19:J$23)+STDEV(J$19:J$23)),J23&gt;=(AVERAGE(J$19:J$23)-STDEV(J$19:J$23)),ISNUMBER(J23)),"Sim","Não"))))</f>
        <v>Sim</v>
      </c>
      <c r="L23" s="162">
        <f t="shared" si="4"/>
        <v>15</v>
      </c>
      <c r="M23" s="281"/>
      <c r="N23" s="282"/>
      <c r="P23" s="37"/>
      <c r="Q23" s="3"/>
      <c r="R23" s="3"/>
    </row>
    <row r="24" spans="1:18">
      <c r="P24" s="37"/>
      <c r="Q24" s="3"/>
      <c r="R24" s="3"/>
    </row>
    <row r="25" spans="1:18">
      <c r="A25" s="260" t="s">
        <v>2</v>
      </c>
      <c r="B25" s="261"/>
      <c r="C25" s="261"/>
      <c r="D25" s="261"/>
      <c r="E25" s="262"/>
      <c r="F25" s="260" t="s">
        <v>3</v>
      </c>
      <c r="G25" s="261"/>
      <c r="H25" s="261"/>
      <c r="I25" s="260" t="s">
        <v>4</v>
      </c>
      <c r="J25" s="261"/>
      <c r="K25" s="261"/>
      <c r="L25" s="262"/>
      <c r="M25" s="260" t="s">
        <v>5</v>
      </c>
      <c r="N25" s="262"/>
      <c r="P25" s="37"/>
      <c r="Q25" s="3"/>
      <c r="R25" s="3"/>
    </row>
    <row r="26" spans="1:18">
      <c r="A26" s="263"/>
      <c r="B26" s="264"/>
      <c r="C26" s="264"/>
      <c r="D26" s="264"/>
      <c r="E26" s="265"/>
      <c r="F26" s="288" t="s">
        <v>324</v>
      </c>
      <c r="G26" s="289"/>
      <c r="H26" s="289"/>
      <c r="I26" s="269" t="s">
        <v>7</v>
      </c>
      <c r="J26" s="270"/>
      <c r="K26" s="270"/>
      <c r="L26" s="273"/>
      <c r="M26" s="335" t="s">
        <v>8</v>
      </c>
      <c r="N26" s="337"/>
      <c r="P26" s="37"/>
      <c r="Q26" s="3"/>
      <c r="R26" s="3"/>
    </row>
    <row r="27" spans="1:18">
      <c r="A27" s="266"/>
      <c r="B27" s="267"/>
      <c r="C27" s="267"/>
      <c r="D27" s="267"/>
      <c r="E27" s="268"/>
      <c r="F27" s="290"/>
      <c r="G27" s="291"/>
      <c r="H27" s="291"/>
      <c r="I27" s="271"/>
      <c r="J27" s="272"/>
      <c r="K27" s="272"/>
      <c r="L27" s="274"/>
      <c r="M27" s="275" t="s">
        <v>9</v>
      </c>
      <c r="N27" s="276"/>
      <c r="P27" s="37"/>
      <c r="Q27" s="3"/>
      <c r="R27" s="3"/>
    </row>
    <row r="28" spans="1:18" ht="22.5">
      <c r="A28" s="4" t="s">
        <v>10</v>
      </c>
      <c r="B28" s="4" t="s">
        <v>11</v>
      </c>
      <c r="C28" s="4" t="s">
        <v>12</v>
      </c>
      <c r="D28" s="5" t="s">
        <v>13</v>
      </c>
      <c r="E28" s="277" t="s">
        <v>14</v>
      </c>
      <c r="F28" s="277"/>
      <c r="G28" s="24" t="s">
        <v>15</v>
      </c>
      <c r="H28" s="24" t="s">
        <v>16</v>
      </c>
      <c r="I28" s="25" t="s">
        <v>17</v>
      </c>
      <c r="J28" s="4" t="s">
        <v>18</v>
      </c>
      <c r="K28" s="4"/>
      <c r="L28" s="4" t="s">
        <v>19</v>
      </c>
      <c r="M28" s="4" t="s">
        <v>20</v>
      </c>
      <c r="N28" s="4" t="s">
        <v>21</v>
      </c>
      <c r="P28" s="37"/>
      <c r="Q28" s="3"/>
      <c r="R28" s="3"/>
    </row>
    <row r="29" spans="1:18">
      <c r="A29" s="278"/>
      <c r="B29" s="278">
        <v>23</v>
      </c>
      <c r="C29" s="279"/>
      <c r="D29" s="82" t="s">
        <v>325</v>
      </c>
      <c r="E29" s="285" t="s">
        <v>326</v>
      </c>
      <c r="F29" s="285"/>
      <c r="G29" s="82" t="s">
        <v>327</v>
      </c>
      <c r="H29" s="82" t="s">
        <v>328</v>
      </c>
      <c r="I29" s="75">
        <v>9.5</v>
      </c>
      <c r="J29" s="76">
        <f>IF(AND((STDEV(I$29:I$35)/AVERAGE(I$29:I$35))&lt;=0.25,ISNUMBER(I29)),I29,IF(AND(I29&lt;=(AVERAGE(I$29:I$35)+STDEV(I$29:I$35)),I29&gt;=(AVERAGE(I$29:I$35)-STDEV(I$29:I$35)),ISNUMBER(I29)),I29,""))</f>
        <v>9.5</v>
      </c>
      <c r="K29" s="77" t="str">
        <f>IF(I29="","",IF(AND(COUNT(I$29:I$35)=1,ISNUMBER(I29)),"Sim",IF(AND((STDEV(J$29:J$35)/AVERAGE(J$29:J$35))&lt;0.25,ISNUMBER(J29)),"Sim",IF(AND(J29&lt;=(AVERAGE(J$29:J$35)+STDEV(J$29:J$35)),J29&gt;=(AVERAGE(J$29:J$35)-STDEV(J$29:J$35)),ISNUMBER(J29)),"Sim","Não"))))</f>
        <v>Sim</v>
      </c>
      <c r="L29" s="77">
        <f>IF(K29="Sim",J29,"")</f>
        <v>9.5</v>
      </c>
      <c r="M29" s="281">
        <f>IF(I29="","",ROUND(IF(COUNT(I29:I35)=1,I29,IF((COUNT(L29:L35)&lt;3),MIN(L29:L35),AVERAGE(L29:L35))),2))</f>
        <v>8.08</v>
      </c>
      <c r="N29" s="282">
        <f>IF(M29="","",C29*M29)</f>
        <v>0</v>
      </c>
      <c r="P29" s="37"/>
      <c r="Q29" s="3"/>
      <c r="R29" s="3"/>
    </row>
    <row r="30" spans="1:18">
      <c r="A30" s="278"/>
      <c r="B30" s="278"/>
      <c r="C30" s="279"/>
      <c r="D30" s="82" t="s">
        <v>86</v>
      </c>
      <c r="E30" s="285" t="s">
        <v>329</v>
      </c>
      <c r="F30" s="285"/>
      <c r="G30" s="83" t="s">
        <v>330</v>
      </c>
      <c r="H30" s="82" t="s">
        <v>331</v>
      </c>
      <c r="I30" s="75">
        <v>9</v>
      </c>
      <c r="J30" s="76">
        <f>IF(AND((STDEV(I$29:I$35)/AVERAGE(I$29:I$35))&lt;=0.25,ISNUMBER(I30)),I30,IF(AND(I30&lt;=(AVERAGE(I$29:I$35)+STDEV(I$29:I$35)),I30&gt;=(AVERAGE(I$29:I$35)-STDEV(I$29:I$35)),ISNUMBER(I30)),I30,""))</f>
        <v>9</v>
      </c>
      <c r="K30" s="77" t="str">
        <f>IF(I30="","",IF(AND(COUNT(I$29:I$35)=1,ISNUMBER(I30)),"Sim",IF(AND((STDEV(J$29:J$35)/AVERAGE(J$29:J$35))&lt;0.25,ISNUMBER(J30)),"Sim",IF(AND(J30&lt;=(AVERAGE(J$29:J$35)+STDEV(J$29:J$35)),J30&gt;=(AVERAGE(J$29:J$35)-STDEV(J$29:J$35)),ISNUMBER(J30)),"Sim","Não"))))</f>
        <v>Sim</v>
      </c>
      <c r="L30" s="77">
        <f t="shared" ref="L30:L35" si="5">IF(K30="Sim",J30,"")</f>
        <v>9</v>
      </c>
      <c r="M30" s="281"/>
      <c r="N30" s="282"/>
      <c r="P30" s="37"/>
      <c r="Q30" s="3"/>
      <c r="R30" s="3"/>
    </row>
    <row r="31" spans="1:18">
      <c r="A31" s="278"/>
      <c r="B31" s="278"/>
      <c r="C31" s="279"/>
      <c r="D31" s="80" t="s">
        <v>332</v>
      </c>
      <c r="E31" s="285" t="s">
        <v>163</v>
      </c>
      <c r="F31" s="285"/>
      <c r="G31" s="83" t="s">
        <v>333</v>
      </c>
      <c r="H31" s="82" t="s">
        <v>334</v>
      </c>
      <c r="I31" s="75">
        <v>9.75</v>
      </c>
      <c r="J31" s="76">
        <f t="shared" ref="J31:J35" si="6">IF(AND((STDEV(I$29:I$35)/AVERAGE(I$29:I$35))&lt;=0.25,ISNUMBER(I31)),I31,IF(AND(I31&lt;=(AVERAGE(I$29:I$35)+STDEV(I$29:I$35)),I31&gt;=(AVERAGE(I$29:I$35)-STDEV(I$29:I$35)),ISNUMBER(I31)),I31,""))</f>
        <v>9.75</v>
      </c>
      <c r="K31" s="77" t="str">
        <f t="shared" ref="K31:K35" si="7">IF(I31="","",IF(AND(COUNT(I$29:I$35)=1,ISNUMBER(I31)),"Sim",IF(AND((STDEV(J$29:J$35)/AVERAGE(J$29:J$35))&lt;0.25,ISNUMBER(J31)),"Sim",IF(AND(J31&lt;=(AVERAGE(J$29:J$35)+STDEV(J$29:J$35)),J31&gt;=(AVERAGE(J$29:J$35)-STDEV(J$29:J$35)),ISNUMBER(J31)),"Sim","Não"))))</f>
        <v>Sim</v>
      </c>
      <c r="L31" s="77">
        <f t="shared" si="5"/>
        <v>9.75</v>
      </c>
      <c r="M31" s="281"/>
      <c r="N31" s="282"/>
      <c r="P31" s="37"/>
      <c r="Q31" s="3"/>
      <c r="R31" s="3"/>
    </row>
    <row r="32" spans="1:18">
      <c r="A32" s="278"/>
      <c r="B32" s="278"/>
      <c r="C32" s="279"/>
      <c r="D32" s="80" t="s">
        <v>32</v>
      </c>
      <c r="E32" s="286">
        <v>45807</v>
      </c>
      <c r="F32" s="287"/>
      <c r="G32" s="105" t="s">
        <v>316</v>
      </c>
      <c r="H32" s="82" t="s">
        <v>323</v>
      </c>
      <c r="I32" s="75">
        <v>9</v>
      </c>
      <c r="J32" s="76">
        <f t="shared" si="6"/>
        <v>9</v>
      </c>
      <c r="K32" s="77" t="str">
        <f t="shared" si="7"/>
        <v>Sim</v>
      </c>
      <c r="L32" s="77">
        <f t="shared" si="5"/>
        <v>9</v>
      </c>
      <c r="M32" s="281"/>
      <c r="N32" s="282"/>
      <c r="P32" s="37"/>
      <c r="Q32" s="3"/>
      <c r="R32" s="3"/>
    </row>
    <row r="33" spans="1:18">
      <c r="A33" s="278"/>
      <c r="B33" s="278"/>
      <c r="C33" s="279"/>
      <c r="D33" s="80" t="s">
        <v>32</v>
      </c>
      <c r="E33" s="286">
        <v>45807</v>
      </c>
      <c r="F33" s="287"/>
      <c r="G33" s="105" t="s">
        <v>335</v>
      </c>
      <c r="H33" s="82" t="s">
        <v>336</v>
      </c>
      <c r="I33" s="75">
        <v>6.2</v>
      </c>
      <c r="J33" s="76">
        <f t="shared" si="6"/>
        <v>6.2</v>
      </c>
      <c r="K33" s="77" t="str">
        <f t="shared" si="7"/>
        <v>Sim</v>
      </c>
      <c r="L33" s="77">
        <f t="shared" si="5"/>
        <v>6.2</v>
      </c>
      <c r="M33" s="281"/>
      <c r="N33" s="282"/>
      <c r="P33" s="37"/>
      <c r="Q33" s="3"/>
      <c r="R33" s="3"/>
    </row>
    <row r="34" spans="1:18">
      <c r="A34" s="278"/>
      <c r="B34" s="278"/>
      <c r="C34" s="279"/>
      <c r="D34" s="80" t="s">
        <v>32</v>
      </c>
      <c r="E34" s="286">
        <v>45807</v>
      </c>
      <c r="F34" s="287"/>
      <c r="G34" s="105" t="s">
        <v>337</v>
      </c>
      <c r="H34" s="82" t="s">
        <v>338</v>
      </c>
      <c r="I34" s="75">
        <v>5.04</v>
      </c>
      <c r="J34" s="76">
        <f t="shared" si="6"/>
        <v>5.04</v>
      </c>
      <c r="K34" s="77" t="str">
        <f t="shared" si="7"/>
        <v>Sim</v>
      </c>
      <c r="L34" s="77">
        <f t="shared" si="5"/>
        <v>5.04</v>
      </c>
      <c r="M34" s="281"/>
      <c r="N34" s="282"/>
      <c r="P34" s="37"/>
      <c r="Q34" s="3"/>
      <c r="R34" s="3"/>
    </row>
    <row r="35" spans="1:18">
      <c r="A35" s="278"/>
      <c r="B35" s="278"/>
      <c r="C35" s="279"/>
      <c r="D35" s="80" t="s">
        <v>32</v>
      </c>
      <c r="E35" s="286">
        <v>45807</v>
      </c>
      <c r="F35" s="287"/>
      <c r="G35" s="105" t="s">
        <v>339</v>
      </c>
      <c r="H35" s="123" t="s">
        <v>340</v>
      </c>
      <c r="I35" s="102">
        <v>24.99</v>
      </c>
      <c r="J35" s="76" t="str">
        <f t="shared" si="6"/>
        <v/>
      </c>
      <c r="K35" s="77" t="str">
        <f t="shared" si="7"/>
        <v>Não</v>
      </c>
      <c r="L35" s="77" t="str">
        <f t="shared" si="5"/>
        <v/>
      </c>
      <c r="M35" s="281"/>
      <c r="N35" s="282"/>
      <c r="P35" s="37"/>
      <c r="Q35" s="3"/>
      <c r="R35" s="3"/>
    </row>
    <row r="36" spans="1:18">
      <c r="H36" s="82"/>
      <c r="P36" s="37"/>
      <c r="Q36" s="3"/>
      <c r="R36" s="3"/>
    </row>
    <row r="37" spans="1:18">
      <c r="A37" s="260" t="s">
        <v>2</v>
      </c>
      <c r="B37" s="261"/>
      <c r="C37" s="261"/>
      <c r="D37" s="261"/>
      <c r="E37" s="262"/>
      <c r="F37" s="260" t="s">
        <v>3</v>
      </c>
      <c r="G37" s="261"/>
      <c r="H37" s="261"/>
      <c r="I37" s="260" t="s">
        <v>4</v>
      </c>
      <c r="J37" s="261"/>
      <c r="K37" s="261"/>
      <c r="L37" s="262"/>
      <c r="M37" s="260" t="s">
        <v>5</v>
      </c>
      <c r="N37" s="262"/>
      <c r="P37" s="37"/>
      <c r="Q37" s="3"/>
      <c r="R37" s="3"/>
    </row>
    <row r="38" spans="1:18">
      <c r="A38" s="263"/>
      <c r="B38" s="264"/>
      <c r="C38" s="264"/>
      <c r="D38" s="264"/>
      <c r="E38" s="265"/>
      <c r="F38" s="288" t="s">
        <v>341</v>
      </c>
      <c r="G38" s="289"/>
      <c r="H38" s="289"/>
      <c r="I38" s="269" t="s">
        <v>7</v>
      </c>
      <c r="J38" s="270"/>
      <c r="K38" s="270"/>
      <c r="L38" s="273"/>
      <c r="M38" s="335" t="s">
        <v>8</v>
      </c>
      <c r="N38" s="337"/>
      <c r="P38" s="37"/>
      <c r="Q38" s="3"/>
      <c r="R38" s="3"/>
    </row>
    <row r="39" spans="1:18">
      <c r="A39" s="266"/>
      <c r="B39" s="267"/>
      <c r="C39" s="267"/>
      <c r="D39" s="267"/>
      <c r="E39" s="268"/>
      <c r="F39" s="290"/>
      <c r="G39" s="291"/>
      <c r="H39" s="291"/>
      <c r="I39" s="271"/>
      <c r="J39" s="272"/>
      <c r="K39" s="272"/>
      <c r="L39" s="274"/>
      <c r="M39" s="275" t="s">
        <v>9</v>
      </c>
      <c r="N39" s="276"/>
      <c r="P39" s="37"/>
      <c r="Q39" s="3"/>
      <c r="R39" s="3"/>
    </row>
    <row r="40" spans="1:18" ht="22.5">
      <c r="A40" s="4" t="s">
        <v>10</v>
      </c>
      <c r="B40" s="4" t="s">
        <v>11</v>
      </c>
      <c r="C40" s="4" t="s">
        <v>12</v>
      </c>
      <c r="D40" s="5" t="s">
        <v>13</v>
      </c>
      <c r="E40" s="277" t="s">
        <v>14</v>
      </c>
      <c r="F40" s="277"/>
      <c r="G40" s="24" t="s">
        <v>15</v>
      </c>
      <c r="H40" s="24" t="s">
        <v>16</v>
      </c>
      <c r="I40" s="25" t="s">
        <v>17</v>
      </c>
      <c r="J40" s="4" t="s">
        <v>18</v>
      </c>
      <c r="K40" s="4"/>
      <c r="L40" s="4" t="s">
        <v>19</v>
      </c>
      <c r="M40" s="4" t="s">
        <v>20</v>
      </c>
      <c r="N40" s="4" t="s">
        <v>21</v>
      </c>
      <c r="P40" s="37"/>
      <c r="Q40" s="3"/>
      <c r="R40" s="3"/>
    </row>
    <row r="41" spans="1:18">
      <c r="A41" s="278"/>
      <c r="B41" s="278">
        <v>24</v>
      </c>
      <c r="C41" s="279"/>
      <c r="D41" s="80" t="s">
        <v>32</v>
      </c>
      <c r="E41" s="286">
        <v>45807</v>
      </c>
      <c r="F41" s="287"/>
      <c r="G41" s="105" t="s">
        <v>342</v>
      </c>
      <c r="H41" s="120" t="s">
        <v>343</v>
      </c>
      <c r="I41" s="75">
        <v>8.9</v>
      </c>
      <c r="J41" s="76">
        <f>IF(AND((STDEV(I$41:I$44)/AVERAGE(I$41:I$44))&lt;=0.25,ISNUMBER(I41)),I41,IF(AND(I41&lt;=(AVERAGE(I$41:I$44)+STDEV(I$41:I$44)),I41&gt;=(AVERAGE(I$41:I$44)-STDEV(I$41:I$44)),ISNUMBER(I41)),I41,""))</f>
        <v>8.9</v>
      </c>
      <c r="K41" s="77" t="str">
        <f>IF(I41="","",IF(AND(COUNT(I$41:I$44)=1,ISNUMBER(I41)),"Sim",IF(AND((STDEV(J$41:J$44)/AVERAGE(J$41:J$44))&lt;0.25,ISNUMBER(J41)),"Sim",IF(AND(J41&lt;=(AVERAGE(J$41:J$44)+STDEV(J$41:J$44)),J41&gt;=(AVERAGE(J$41:J$44)-STDEV(J$41:J$44)),ISNUMBER(J41)),"Sim","Não"))))</f>
        <v>Sim</v>
      </c>
      <c r="L41" s="77">
        <f>IF(K41="Sim",J41,"")</f>
        <v>8.9</v>
      </c>
      <c r="M41" s="281">
        <f>IF(I41="","",ROUND(IF(COUNT(I41:I44)=1,I41,IF((COUNT(L41:L44)&lt;3),MIN(L41:L44),AVERAGE(L41:L44))),2))</f>
        <v>9.65</v>
      </c>
      <c r="N41" s="282">
        <f>IF(M41="","",C41*M41)</f>
        <v>0</v>
      </c>
      <c r="P41" s="37"/>
      <c r="Q41" s="3"/>
      <c r="R41" s="3"/>
    </row>
    <row r="42" spans="1:18">
      <c r="A42" s="278"/>
      <c r="B42" s="278"/>
      <c r="C42" s="279"/>
      <c r="D42" s="80" t="s">
        <v>32</v>
      </c>
      <c r="E42" s="286">
        <v>45807</v>
      </c>
      <c r="F42" s="287"/>
      <c r="G42" s="105" t="s">
        <v>170</v>
      </c>
      <c r="H42" s="82" t="s">
        <v>344</v>
      </c>
      <c r="I42" s="75">
        <v>19.899999999999999</v>
      </c>
      <c r="J42" s="76" t="str">
        <f>IF(AND((STDEV(I$41:I$44)/AVERAGE(I$41:I$44))&lt;=0.25,ISNUMBER(I42)),I42,IF(AND(I42&lt;=(AVERAGE(I$41:I$44)+STDEV(I$41:I$44)),I42&gt;=(AVERAGE(I$41:I$44)-STDEV(I$41:I$44)),ISNUMBER(I42)),I42,""))</f>
        <v/>
      </c>
      <c r="K42" s="77" t="str">
        <f t="shared" ref="K42:K44" si="8">IF(I42="","",IF(AND(COUNT(I$41:I$44)=1,ISNUMBER(I42)),"Sim",IF(AND((STDEV(J$41:J$44)/AVERAGE(J$41:J$44))&lt;0.25,ISNUMBER(J42)),"Sim",IF(AND(J42&lt;=(AVERAGE(J$41:J$44)+STDEV(J$41:J$44)),J42&gt;=(AVERAGE(J$41:J$44)-STDEV(J$41:J$44)),ISNUMBER(J42)),"Sim","Não"))))</f>
        <v>Não</v>
      </c>
      <c r="L42" s="77" t="str">
        <f t="shared" ref="L42:L44" si="9">IF(K42="Sim",J42,"")</f>
        <v/>
      </c>
      <c r="M42" s="281"/>
      <c r="N42" s="282"/>
      <c r="P42" s="37"/>
      <c r="Q42" s="3"/>
      <c r="R42" s="3"/>
    </row>
    <row r="43" spans="1:18">
      <c r="A43" s="278"/>
      <c r="B43" s="278"/>
      <c r="C43" s="279"/>
      <c r="D43" s="80" t="s">
        <v>32</v>
      </c>
      <c r="E43" s="286">
        <v>45807</v>
      </c>
      <c r="F43" s="287"/>
      <c r="G43" s="105" t="s">
        <v>168</v>
      </c>
      <c r="H43" s="80" t="s">
        <v>345</v>
      </c>
      <c r="I43" s="75">
        <v>9.9</v>
      </c>
      <c r="J43" s="76">
        <f t="shared" ref="J43:J44" si="10">IF(AND((STDEV(I$41:I$44)/AVERAGE(I$41:I$44))&lt;=0.25,ISNUMBER(I43)),I43,IF(AND(I43&lt;=(AVERAGE(I$41:I$44)+STDEV(I$41:I$44)),I43&gt;=(AVERAGE(I$41:I$44)-STDEV(I$41:I$44)),ISNUMBER(I43)),I43,""))</f>
        <v>9.9</v>
      </c>
      <c r="K43" s="77" t="str">
        <f>IF(I43="","",IF(AND(COUNT(I$41:I$44)=1,ISNUMBER(I43)),"Sim",IF(AND((STDEV(J$41:J$44)/AVERAGE(J$41:J$44))&lt;0.25,ISNUMBER(J43)),"Sim",IF(AND(J43&lt;=(AVERAGE(J$41:J$44)+STDEV(J$41:J$44)),J43&gt;=(AVERAGE(J$41:J$44)-STDEV(J$41:J$44)),ISNUMBER(J43)),"Sim","Não"))))</f>
        <v>Sim</v>
      </c>
      <c r="L43" s="77">
        <f t="shared" si="9"/>
        <v>9.9</v>
      </c>
      <c r="M43" s="281"/>
      <c r="N43" s="282"/>
      <c r="P43" s="37"/>
      <c r="Q43" s="3"/>
      <c r="R43" s="3"/>
    </row>
    <row r="44" spans="1:18">
      <c r="A44" s="278"/>
      <c r="B44" s="278"/>
      <c r="C44" s="279"/>
      <c r="D44" s="80" t="s">
        <v>32</v>
      </c>
      <c r="E44" s="286">
        <v>45807</v>
      </c>
      <c r="F44" s="287"/>
      <c r="G44" s="105" t="s">
        <v>346</v>
      </c>
      <c r="H44" s="82" t="s">
        <v>347</v>
      </c>
      <c r="I44" s="75">
        <v>10.14</v>
      </c>
      <c r="J44" s="76">
        <f t="shared" si="10"/>
        <v>10.14</v>
      </c>
      <c r="K44" s="77" t="str">
        <f t="shared" si="8"/>
        <v>Sim</v>
      </c>
      <c r="L44" s="77">
        <f t="shared" si="9"/>
        <v>10.14</v>
      </c>
      <c r="M44" s="281"/>
      <c r="N44" s="282"/>
      <c r="P44" s="37"/>
      <c r="Q44" s="3"/>
      <c r="R44" s="3"/>
    </row>
    <row r="45" spans="1:18">
      <c r="P45" s="37"/>
      <c r="Q45" s="3"/>
      <c r="R45" s="3"/>
    </row>
    <row r="46" spans="1:18">
      <c r="A46" s="260" t="s">
        <v>2</v>
      </c>
      <c r="B46" s="261"/>
      <c r="C46" s="261"/>
      <c r="D46" s="261"/>
      <c r="E46" s="262"/>
      <c r="F46" s="260" t="s">
        <v>3</v>
      </c>
      <c r="G46" s="261"/>
      <c r="H46" s="261"/>
      <c r="I46" s="260" t="s">
        <v>4</v>
      </c>
      <c r="J46" s="261"/>
      <c r="K46" s="261"/>
      <c r="L46" s="262"/>
      <c r="M46" s="335" t="s">
        <v>8</v>
      </c>
      <c r="N46" s="337"/>
      <c r="P46" s="37"/>
      <c r="Q46" s="3"/>
      <c r="R46" s="3"/>
    </row>
    <row r="47" spans="1:18">
      <c r="A47" s="263"/>
      <c r="B47" s="264"/>
      <c r="C47" s="264"/>
      <c r="D47" s="264"/>
      <c r="E47" s="265"/>
      <c r="F47" s="288" t="s">
        <v>348</v>
      </c>
      <c r="G47" s="289"/>
      <c r="H47" s="289"/>
      <c r="I47" s="269" t="s">
        <v>7</v>
      </c>
      <c r="J47" s="270"/>
      <c r="K47" s="270"/>
      <c r="L47" s="273"/>
      <c r="M47" s="271"/>
      <c r="N47" s="274"/>
      <c r="P47" s="37"/>
      <c r="Q47" s="3"/>
      <c r="R47" s="3"/>
    </row>
    <row r="48" spans="1:18">
      <c r="A48" s="266"/>
      <c r="B48" s="267"/>
      <c r="C48" s="267"/>
      <c r="D48" s="267"/>
      <c r="E48" s="268"/>
      <c r="F48" s="290"/>
      <c r="G48" s="291"/>
      <c r="H48" s="291"/>
      <c r="I48" s="271"/>
      <c r="J48" s="272"/>
      <c r="K48" s="272"/>
      <c r="L48" s="274"/>
      <c r="M48" s="275" t="s">
        <v>9</v>
      </c>
      <c r="N48" s="276"/>
      <c r="P48" s="37"/>
      <c r="Q48" s="3"/>
      <c r="R48" s="3"/>
    </row>
    <row r="49" spans="1:18" ht="22.5">
      <c r="A49" s="4" t="s">
        <v>10</v>
      </c>
      <c r="B49" s="4" t="s">
        <v>11</v>
      </c>
      <c r="C49" s="4" t="s">
        <v>12</v>
      </c>
      <c r="D49" s="5" t="s">
        <v>13</v>
      </c>
      <c r="E49" s="277" t="s">
        <v>14</v>
      </c>
      <c r="F49" s="277"/>
      <c r="G49" s="24" t="s">
        <v>15</v>
      </c>
      <c r="H49" s="24" t="s">
        <v>16</v>
      </c>
      <c r="I49" s="25" t="s">
        <v>17</v>
      </c>
      <c r="J49" s="4" t="s">
        <v>18</v>
      </c>
      <c r="K49" s="4"/>
      <c r="L49" s="4" t="s">
        <v>19</v>
      </c>
      <c r="M49" s="4" t="s">
        <v>20</v>
      </c>
      <c r="N49" s="4" t="s">
        <v>21</v>
      </c>
      <c r="P49" s="37"/>
      <c r="Q49" s="3"/>
      <c r="R49" s="3"/>
    </row>
    <row r="50" spans="1:18">
      <c r="A50" s="278"/>
      <c r="B50" s="278">
        <v>25</v>
      </c>
      <c r="C50" s="279"/>
      <c r="D50" s="83" t="s">
        <v>349</v>
      </c>
      <c r="E50" s="377" t="s">
        <v>350</v>
      </c>
      <c r="F50" s="377"/>
      <c r="G50" s="83" t="s">
        <v>351</v>
      </c>
      <c r="H50" s="82" t="s">
        <v>352</v>
      </c>
      <c r="I50" s="75">
        <v>54</v>
      </c>
      <c r="J50" s="76" t="str">
        <f>IF(AND((STDEV(I$50:I$54)/AVERAGE(I$50:I$54))&lt;=0.25,ISNUMBER(I50)),I50,IF(AND(I50&lt;=(AVERAGE(I$50:I$54)+STDEV(I$50:I$54)),I50&gt;=(AVERAGE(I$50:I$54)-STDEV(I$50:I$54)),ISNUMBER(I50)),I50,""))</f>
        <v/>
      </c>
      <c r="K50" s="77" t="str">
        <f>IF(I50="","",IF(AND(COUNT(I$50:I$54)=1,ISNUMBER(I50)),"Sim",IF(AND((STDEV(J$50:J$54)/AVERAGE(J$50:J$54))&lt;0.25,ISNUMBER(J50)),"Sim",IF(AND(J50&lt;=(AVERAGE(J$50:J$54)+STDEV(J$50:J$54)),J50&gt;=(AVERAGE(J$50:J$54)-STDEV(J$50:J$54)),ISNUMBER(J50)),"Sim","Não"))))</f>
        <v>Não</v>
      </c>
      <c r="L50" s="77" t="str">
        <f>IF(K50="Sim",J50,"")</f>
        <v/>
      </c>
      <c r="M50" s="281">
        <f>IF(I50="","",ROUND(IF(COUNT(I50:I54)=1,I50,IF((COUNT(L50:L54)&lt;3),MIN(L50:L54),AVERAGE(L50:L54))),2))</f>
        <v>199</v>
      </c>
      <c r="N50" s="282">
        <f>IF(M50="","",C50*M50)</f>
        <v>0</v>
      </c>
      <c r="P50" s="37"/>
      <c r="Q50" s="3"/>
      <c r="R50" s="3"/>
    </row>
    <row r="51" spans="1:18">
      <c r="A51" s="278"/>
      <c r="B51" s="278"/>
      <c r="C51" s="279"/>
      <c r="D51" s="78" t="s">
        <v>353</v>
      </c>
      <c r="E51" s="373" t="s">
        <v>354</v>
      </c>
      <c r="F51" s="373"/>
      <c r="G51" s="82" t="s">
        <v>355</v>
      </c>
      <c r="H51" s="82" t="s">
        <v>356</v>
      </c>
      <c r="I51" s="75">
        <v>56</v>
      </c>
      <c r="J51" s="76" t="str">
        <f>IF(AND((STDEV(I$50:I$54)/AVERAGE(I$50:I$54))&lt;=0.25,ISNUMBER(I51)),I51,IF(AND(I51&lt;=(AVERAGE(I$50:I$54)+STDEV(I$50:I$54)),I51&gt;=(AVERAGE(I$50:I$54)-STDEV(I$50:I$54)),ISNUMBER(I51)),I51,""))</f>
        <v/>
      </c>
      <c r="K51" s="77" t="str">
        <f>IF(I51="","",IF(AND(COUNT(I$50:I$54)=1,ISNUMBER(I51)),"Sim",IF(AND((STDEV(J$50:J$54)/AVERAGE(J$50:J$54))&lt;0.25,ISNUMBER(J51)),"Sim",IF(AND(J51&lt;=(AVERAGE(J$50:J$54)+STDEV(J$50:J$54)),J51&gt;=(AVERAGE(J$50:J$54)-STDEV(J$50:J$54)),ISNUMBER(J51)),"Sim","Não"))))</f>
        <v>Não</v>
      </c>
      <c r="L51" s="77" t="str">
        <f t="shared" ref="L51:L54" si="11">IF(K51="Sim",J51,"")</f>
        <v/>
      </c>
      <c r="M51" s="281"/>
      <c r="N51" s="282"/>
      <c r="P51" s="37"/>
      <c r="Q51" s="3"/>
      <c r="R51" s="3"/>
    </row>
    <row r="52" spans="1:18">
      <c r="A52" s="278"/>
      <c r="B52" s="278"/>
      <c r="C52" s="279"/>
      <c r="D52" s="80" t="s">
        <v>32</v>
      </c>
      <c r="E52" s="286">
        <v>45807</v>
      </c>
      <c r="F52" s="287"/>
      <c r="G52" s="105" t="s">
        <v>357</v>
      </c>
      <c r="H52" s="82" t="s">
        <v>358</v>
      </c>
      <c r="I52" s="75">
        <v>199</v>
      </c>
      <c r="J52" s="76">
        <f>IF(AND((STDEV(I$50:I$54)/AVERAGE(I$50:I$54))&lt;=0.25,ISNUMBER(I52)),I52,IF(AND(I52&lt;=(AVERAGE(I$50:I$54)+STDEV(I$50:I$54)),I52&gt;=(AVERAGE(I$50:I$54)-STDEV(I$50:I$54)),ISNUMBER(I52)),I52,""))</f>
        <v>199</v>
      </c>
      <c r="K52" s="77" t="str">
        <f>IF(I52="","",IF(AND(COUNT(I$50:I$54)=1,ISNUMBER(I52)),"Sim",IF(AND((STDEV(J$50:J$54)/AVERAGE(J$50:J$54))&lt;0.25,ISNUMBER(J52)),"Sim",IF(AND(J52&lt;=(AVERAGE(J$50:J$54)+STDEV(J$50:J$54)),J52&gt;=(AVERAGE(J$50:J$54)-STDEV(J$50:J$54)),ISNUMBER(J52)),"Sim","Não"))))</f>
        <v>Sim</v>
      </c>
      <c r="L52" s="77">
        <f t="shared" si="11"/>
        <v>199</v>
      </c>
      <c r="M52" s="281"/>
      <c r="N52" s="282"/>
      <c r="P52" s="37"/>
      <c r="Q52" s="3"/>
      <c r="R52" s="3"/>
    </row>
    <row r="53" spans="1:18">
      <c r="A53" s="278"/>
      <c r="B53" s="278"/>
      <c r="C53" s="279"/>
      <c r="D53" s="80" t="s">
        <v>32</v>
      </c>
      <c r="E53" s="286">
        <v>45807</v>
      </c>
      <c r="F53" s="287"/>
      <c r="G53" s="105" t="s">
        <v>181</v>
      </c>
      <c r="H53" s="82" t="s">
        <v>359</v>
      </c>
      <c r="I53" s="75">
        <v>249</v>
      </c>
      <c r="J53" s="76" t="str">
        <f>IF(AND((STDEV(I$50:I$54)/AVERAGE(I$50:I$54))&lt;=0.25,ISNUMBER(I53)),I53,IF(AND(I53&lt;=(AVERAGE(I$50:I$54)+STDEV(I$50:I$54)),I53&gt;=(AVERAGE(I$50:I$54)-STDEV(I$50:I$54)),ISNUMBER(I53)),I53,""))</f>
        <v/>
      </c>
      <c r="K53" s="77" t="str">
        <f>IF(I53="","",IF(AND(COUNT(I$50:I$54)=1,ISNUMBER(I53)),"Sim",IF(AND((STDEV(J$50:J$54)/AVERAGE(J$50:J$54))&lt;0.25,ISNUMBER(J53)),"Sim",IF(AND(J53&lt;=(AVERAGE(J$50:J$54)+STDEV(J$50:J$54)),J53&gt;=(AVERAGE(J$50:J$54)-STDEV(J$50:J$54)),ISNUMBER(J53)),"Sim","Não"))))</f>
        <v>Não</v>
      </c>
      <c r="L53" s="77" t="str">
        <f t="shared" si="11"/>
        <v/>
      </c>
      <c r="M53" s="281"/>
      <c r="N53" s="282"/>
      <c r="P53" s="37"/>
      <c r="Q53" s="3"/>
      <c r="R53" s="3"/>
    </row>
    <row r="54" spans="1:18">
      <c r="A54" s="278"/>
      <c r="B54" s="278"/>
      <c r="C54" s="279"/>
      <c r="D54" s="80" t="s">
        <v>32</v>
      </c>
      <c r="E54" s="286">
        <v>45807</v>
      </c>
      <c r="F54" s="287"/>
      <c r="G54" s="105" t="s">
        <v>360</v>
      </c>
      <c r="H54" s="82" t="s">
        <v>361</v>
      </c>
      <c r="I54" s="75">
        <v>199.4</v>
      </c>
      <c r="J54" s="76">
        <f>IF(AND((STDEV(I$50:I$54)/AVERAGE(I$50:I$54))&lt;=0.25,ISNUMBER(I54)),I54,IF(AND(I54&lt;=(AVERAGE(I$50:I$54)+STDEV(I$50:I$54)),I54&gt;=(AVERAGE(I$50:I$54)-STDEV(I$50:I$54)),ISNUMBER(I54)),I54,""))</f>
        <v>199.4</v>
      </c>
      <c r="K54" s="77" t="str">
        <f>IF(I54="","",IF(AND(COUNT(I$50:I$54)=1,ISNUMBER(I54)),"Sim",IF(AND((STDEV(J$50:J$54)/AVERAGE(J$50:J$54))&lt;0.25,ISNUMBER(J54)),"Sim",IF(AND(J54&lt;=(AVERAGE(J$50:J$54)+STDEV(J$50:J$54)),J54&gt;=(AVERAGE(J$50:J$54)-STDEV(J$50:J$54)),ISNUMBER(J54)),"Sim","Não"))))</f>
        <v>Sim</v>
      </c>
      <c r="L54" s="77">
        <f t="shared" si="11"/>
        <v>199.4</v>
      </c>
      <c r="M54" s="281"/>
      <c r="N54" s="282"/>
      <c r="P54" s="37"/>
      <c r="Q54" s="3"/>
      <c r="R54" s="3"/>
    </row>
    <row r="55" spans="1:18">
      <c r="P55" s="37"/>
      <c r="Q55" s="3"/>
      <c r="R55" s="3"/>
    </row>
    <row r="56" spans="1:18">
      <c r="P56" s="37"/>
      <c r="Q56" s="3"/>
      <c r="R56" s="3"/>
    </row>
    <row r="57" spans="1:18">
      <c r="A57" s="260" t="s">
        <v>2</v>
      </c>
      <c r="B57" s="261"/>
      <c r="C57" s="261"/>
      <c r="D57" s="261"/>
      <c r="E57" s="262"/>
      <c r="F57" s="260" t="s">
        <v>3</v>
      </c>
      <c r="G57" s="261"/>
      <c r="H57" s="261"/>
      <c r="I57" s="260" t="s">
        <v>4</v>
      </c>
      <c r="J57" s="261"/>
      <c r="K57" s="261"/>
      <c r="L57" s="262"/>
      <c r="M57" s="260" t="s">
        <v>5</v>
      </c>
      <c r="N57" s="262"/>
      <c r="P57" s="37"/>
      <c r="Q57" s="3"/>
      <c r="R57" s="3"/>
    </row>
    <row r="58" spans="1:18">
      <c r="A58" s="263"/>
      <c r="B58" s="264"/>
      <c r="C58" s="264"/>
      <c r="D58" s="264"/>
      <c r="E58" s="265"/>
      <c r="F58" s="288" t="s">
        <v>362</v>
      </c>
      <c r="G58" s="289"/>
      <c r="H58" s="289"/>
      <c r="I58" s="269" t="s">
        <v>7</v>
      </c>
      <c r="J58" s="270"/>
      <c r="K58" s="270"/>
      <c r="L58" s="273"/>
      <c r="M58" s="335" t="s">
        <v>8</v>
      </c>
      <c r="N58" s="337"/>
      <c r="P58" s="37"/>
      <c r="Q58" s="3"/>
      <c r="R58" s="3"/>
    </row>
    <row r="59" spans="1:18">
      <c r="A59" s="266"/>
      <c r="B59" s="267"/>
      <c r="C59" s="267"/>
      <c r="D59" s="267"/>
      <c r="E59" s="268"/>
      <c r="F59" s="290"/>
      <c r="G59" s="291"/>
      <c r="H59" s="291"/>
      <c r="I59" s="271"/>
      <c r="J59" s="272"/>
      <c r="K59" s="272"/>
      <c r="L59" s="274"/>
      <c r="M59" s="275" t="s">
        <v>9</v>
      </c>
      <c r="N59" s="276"/>
      <c r="P59" s="37"/>
      <c r="Q59" s="3"/>
      <c r="R59" s="3"/>
    </row>
    <row r="60" spans="1:18" ht="22.5">
      <c r="A60" s="4" t="s">
        <v>10</v>
      </c>
      <c r="B60" s="4" t="s">
        <v>11</v>
      </c>
      <c r="C60" s="4" t="s">
        <v>12</v>
      </c>
      <c r="D60" s="5" t="s">
        <v>13</v>
      </c>
      <c r="E60" s="277" t="s">
        <v>14</v>
      </c>
      <c r="F60" s="277"/>
      <c r="G60" s="24" t="s">
        <v>15</v>
      </c>
      <c r="H60" s="24" t="s">
        <v>16</v>
      </c>
      <c r="I60" s="25" t="s">
        <v>17</v>
      </c>
      <c r="J60" s="4" t="s">
        <v>18</v>
      </c>
      <c r="K60" s="4"/>
      <c r="L60" s="4" t="s">
        <v>19</v>
      </c>
      <c r="M60" s="4" t="s">
        <v>20</v>
      </c>
      <c r="N60" s="4" t="s">
        <v>21</v>
      </c>
      <c r="P60" s="37"/>
      <c r="Q60" s="3"/>
      <c r="R60" s="3"/>
    </row>
    <row r="61" spans="1:18">
      <c r="A61" s="278"/>
      <c r="B61" s="278">
        <v>26</v>
      </c>
      <c r="C61" s="279"/>
      <c r="D61" s="83" t="s">
        <v>363</v>
      </c>
      <c r="E61" s="373" t="s">
        <v>364</v>
      </c>
      <c r="F61" s="373"/>
      <c r="G61" s="82" t="s">
        <v>365</v>
      </c>
      <c r="H61" s="82" t="s">
        <v>366</v>
      </c>
      <c r="I61" s="75">
        <v>9.49</v>
      </c>
      <c r="J61" s="76">
        <f>IF(AND((STDEV(I$61:I$64)/AVERAGE(I$61:I$64))&lt;=0.25,ISNUMBER(I61)),I61,IF(AND(I61&lt;=(AVERAGE(I$61:I$64)+STDEV(I$61:I$64)),I61&gt;=(AVERAGE(I$61:I$64)-STDEV(I$61:I$64)),ISNUMBER(I61)),I61,""))</f>
        <v>9.49</v>
      </c>
      <c r="K61" s="77" t="str">
        <f>IF(I61="","",IF(AND(COUNT(I$61:I$64)=1,ISNUMBER(I61)),"Sim",IF(AND((STDEV(J$61:J$64)/AVERAGE(J$61:J$64))&lt;0.25,ISNUMBER(J61)),"Sim",IF(AND(J61&lt;=(AVERAGE(J$61:J$64)+STDEV(J$61:J$64)),J61&gt;=(AVERAGE(J$61:J$64)-STDEV(J$61:J$64)),ISNUMBER(J61)),"Sim","Não"))))</f>
        <v>Sim</v>
      </c>
      <c r="L61" s="77">
        <f>IF(K61="Sim",J61,"")</f>
        <v>9.49</v>
      </c>
      <c r="M61" s="281">
        <f>IF(I61="","",ROUND(IF(COUNT(I61:I64)=1,I61,IF((COUNT(L61:L64)&lt;3),MIN(L61:L64),AVERAGE(L61:L64))),2))</f>
        <v>13.8</v>
      </c>
      <c r="N61" s="282">
        <f>IF(M61="","",C61*M61)</f>
        <v>0</v>
      </c>
      <c r="P61" s="37"/>
      <c r="Q61" s="3"/>
      <c r="R61" s="3"/>
    </row>
    <row r="62" spans="1:18">
      <c r="A62" s="278"/>
      <c r="B62" s="278"/>
      <c r="C62" s="279"/>
      <c r="D62" s="116" t="s">
        <v>367</v>
      </c>
      <c r="E62" s="373" t="s">
        <v>298</v>
      </c>
      <c r="F62" s="373"/>
      <c r="G62" s="83" t="s">
        <v>368</v>
      </c>
      <c r="H62" s="78" t="s">
        <v>369</v>
      </c>
      <c r="I62" s="75">
        <v>9</v>
      </c>
      <c r="J62" s="76">
        <f>IF(AND((STDEV(I$61:I$64)/AVERAGE(I$61:I$64))&lt;=0.25,ISNUMBER(I62)),I62,IF(AND(I62&lt;=(AVERAGE(I$61:I$64)+STDEV(I$61:I$64)),I62&gt;=(AVERAGE(I$61:I$64)-STDEV(I$61:I$64)),ISNUMBER(I62)),I62,""))</f>
        <v>9</v>
      </c>
      <c r="K62" s="77" t="str">
        <f>IF(I62="","",IF(AND(COUNT(I$61:I$64)=1,ISNUMBER(I62)),"Sim",IF(AND((STDEV(J$61:J$64)/AVERAGE(J$61:J$64))&lt;0.25,ISNUMBER(J62)),"Sim",IF(AND(J62&lt;=(AVERAGE(J$61:J$64)+STDEV(J$61:J$64)),J62&gt;=(AVERAGE(J$61:J$64)-STDEV(J$61:J$64)),ISNUMBER(J62)),"Sim","Não"))))</f>
        <v>Sim</v>
      </c>
      <c r="L62" s="77">
        <f t="shared" ref="L62:L64" si="12">IF(K62="Sim",J62,"")</f>
        <v>9</v>
      </c>
      <c r="M62" s="281"/>
      <c r="N62" s="282"/>
      <c r="P62" s="37"/>
      <c r="Q62" s="3"/>
      <c r="R62" s="3"/>
    </row>
    <row r="63" spans="1:18">
      <c r="A63" s="278"/>
      <c r="B63" s="278"/>
      <c r="C63" s="279"/>
      <c r="D63" s="80" t="s">
        <v>32</v>
      </c>
      <c r="E63" s="286">
        <v>45807</v>
      </c>
      <c r="F63" s="287"/>
      <c r="G63" s="111" t="s">
        <v>370</v>
      </c>
      <c r="H63" s="82" t="s">
        <v>371</v>
      </c>
      <c r="I63" s="75">
        <v>18.8</v>
      </c>
      <c r="J63" s="76">
        <f>IF(AND((STDEV(I$61:I$64)/AVERAGE(I$61:I$64))&lt;=0.25,ISNUMBER(I63)),I63,IF(AND(I63&lt;=(AVERAGE(I$61:I$64)+STDEV(I$61:I$64)),I63&gt;=(AVERAGE(I$61:I$64)-STDEV(I$61:I$64)),ISNUMBER(I63)),I63,""))</f>
        <v>18.8</v>
      </c>
      <c r="K63" s="77" t="str">
        <f>IF(I63="","",IF(AND(COUNT(I$61:I$64)=1,ISNUMBER(I63)),"Sim",IF(AND((STDEV(J$61:J$64)/AVERAGE(J$61:J$64))&lt;0.25,ISNUMBER(J63)),"Sim",IF(AND(J63&lt;=(AVERAGE(J$61:J$64)+STDEV(J$61:J$64)),J63&gt;=(AVERAGE(J$61:J$64)-STDEV(J$61:J$64)),ISNUMBER(J63)),"Sim","Não"))))</f>
        <v>Sim</v>
      </c>
      <c r="L63" s="77">
        <f t="shared" si="12"/>
        <v>18.8</v>
      </c>
      <c r="M63" s="281"/>
      <c r="N63" s="282"/>
      <c r="P63" s="37"/>
      <c r="Q63" s="3"/>
      <c r="R63" s="3"/>
    </row>
    <row r="64" spans="1:18">
      <c r="A64" s="278"/>
      <c r="B64" s="278"/>
      <c r="C64" s="279"/>
      <c r="D64" s="80" t="s">
        <v>32</v>
      </c>
      <c r="E64" s="286">
        <v>45807</v>
      </c>
      <c r="F64" s="287"/>
      <c r="G64" s="89" t="s">
        <v>372</v>
      </c>
      <c r="H64" s="82" t="s">
        <v>373</v>
      </c>
      <c r="I64" s="75">
        <v>17.899999999999999</v>
      </c>
      <c r="J64" s="76">
        <f>IF(AND((STDEV(I$61:I$64)/AVERAGE(I$61:I$64))&lt;=0.25,ISNUMBER(I64)),I64,IF(AND(I64&lt;=(AVERAGE(I$61:I$64)+STDEV(I$61:I$64)),I64&gt;=(AVERAGE(I$61:I$64)-STDEV(I$61:I$64)),ISNUMBER(I64)),I64,""))</f>
        <v>17.899999999999999</v>
      </c>
      <c r="K64" s="77" t="str">
        <f>IF(I64="","",IF(AND(COUNT(I$61:I$64)=1,ISNUMBER(I64)),"Sim",IF(AND((STDEV(J$61:J$64)/AVERAGE(J$61:J$64))&lt;0.25,ISNUMBER(J64)),"Sim",IF(AND(J64&lt;=(AVERAGE(J$61:J$64)+STDEV(J$61:J$64)),J64&gt;=(AVERAGE(J$61:J$64)-STDEV(J$61:J$64)),ISNUMBER(J64)),"Sim","Não"))))</f>
        <v>Sim</v>
      </c>
      <c r="L64" s="77">
        <f t="shared" si="12"/>
        <v>17.899999999999999</v>
      </c>
      <c r="M64" s="281"/>
      <c r="N64" s="282"/>
      <c r="P64" s="37"/>
      <c r="Q64" s="3"/>
      <c r="R64" s="3"/>
    </row>
    <row r="65" spans="1:18">
      <c r="P65" s="37"/>
      <c r="Q65" s="3"/>
      <c r="R65" s="3"/>
    </row>
    <row r="66" spans="1:18">
      <c r="A66" s="260" t="s">
        <v>2</v>
      </c>
      <c r="B66" s="261"/>
      <c r="C66" s="261"/>
      <c r="D66" s="261"/>
      <c r="E66" s="262"/>
      <c r="F66" s="260" t="s">
        <v>3</v>
      </c>
      <c r="G66" s="261"/>
      <c r="H66" s="261"/>
      <c r="I66" s="260" t="s">
        <v>4</v>
      </c>
      <c r="J66" s="261"/>
      <c r="K66" s="261"/>
      <c r="L66" s="262"/>
      <c r="M66" s="260" t="s">
        <v>5</v>
      </c>
      <c r="N66" s="262"/>
      <c r="P66" s="37"/>
      <c r="Q66" s="3"/>
      <c r="R66" s="3"/>
    </row>
    <row r="67" spans="1:18">
      <c r="A67" s="263"/>
      <c r="B67" s="264"/>
      <c r="C67" s="264"/>
      <c r="D67" s="264"/>
      <c r="E67" s="265"/>
      <c r="F67" s="288" t="s">
        <v>374</v>
      </c>
      <c r="G67" s="289"/>
      <c r="H67" s="289"/>
      <c r="I67" s="269" t="s">
        <v>7</v>
      </c>
      <c r="J67" s="270"/>
      <c r="K67" s="270"/>
      <c r="L67" s="273"/>
      <c r="M67" s="335" t="s">
        <v>8</v>
      </c>
      <c r="N67" s="337"/>
      <c r="P67" s="37"/>
      <c r="Q67" s="3"/>
      <c r="R67" s="3"/>
    </row>
    <row r="68" spans="1:18">
      <c r="A68" s="266"/>
      <c r="B68" s="267"/>
      <c r="C68" s="267"/>
      <c r="D68" s="267"/>
      <c r="E68" s="268"/>
      <c r="F68" s="290"/>
      <c r="G68" s="291"/>
      <c r="H68" s="291"/>
      <c r="I68" s="271"/>
      <c r="J68" s="272"/>
      <c r="K68" s="272"/>
      <c r="L68" s="274"/>
      <c r="M68" s="275" t="s">
        <v>9</v>
      </c>
      <c r="N68" s="276"/>
      <c r="P68" s="37"/>
      <c r="Q68" s="3"/>
      <c r="R68" s="3"/>
    </row>
    <row r="69" spans="1:18" ht="22.5">
      <c r="A69" s="4" t="s">
        <v>10</v>
      </c>
      <c r="B69" s="4" t="s">
        <v>11</v>
      </c>
      <c r="C69" s="4" t="s">
        <v>12</v>
      </c>
      <c r="D69" s="5" t="s">
        <v>13</v>
      </c>
      <c r="E69" s="277" t="s">
        <v>14</v>
      </c>
      <c r="F69" s="277"/>
      <c r="G69" s="24" t="s">
        <v>15</v>
      </c>
      <c r="H69" s="24" t="s">
        <v>16</v>
      </c>
      <c r="I69" s="25" t="s">
        <v>17</v>
      </c>
      <c r="J69" s="4" t="s">
        <v>18</v>
      </c>
      <c r="K69" s="4"/>
      <c r="L69" s="4" t="s">
        <v>19</v>
      </c>
      <c r="M69" s="4" t="s">
        <v>20</v>
      </c>
      <c r="N69" s="4" t="s">
        <v>21</v>
      </c>
      <c r="P69" s="37"/>
      <c r="Q69" s="3"/>
      <c r="R69" s="3"/>
    </row>
    <row r="70" spans="1:18">
      <c r="A70" s="278"/>
      <c r="B70" s="278">
        <v>27</v>
      </c>
      <c r="C70" s="279"/>
      <c r="D70" s="83" t="s">
        <v>375</v>
      </c>
      <c r="E70" s="373">
        <v>45667</v>
      </c>
      <c r="F70" s="373"/>
      <c r="G70" s="83" t="s">
        <v>376</v>
      </c>
      <c r="H70" s="83" t="s">
        <v>377</v>
      </c>
      <c r="I70" s="75">
        <v>2.72</v>
      </c>
      <c r="J70" s="76">
        <f>IF(AND((STDEV(I$70:I$74)/AVERAGE(I$70:I$74))&lt;=0.25,ISNUMBER(I70)),I70,IF(AND(I70&lt;=(AVERAGE(I$70:I$74)+STDEV(I$70:I$74)),I70&gt;=(AVERAGE(I$70:I$74)-STDEV(I$70:I$74)),ISNUMBER(I70)),I70,""))</f>
        <v>2.72</v>
      </c>
      <c r="K70" s="77" t="str">
        <f>IF(I70="","",IF(AND(COUNT(I$70:I$74)=1,ISNUMBER(I70)),"Sim",IF(AND((STDEV(J$70:J$74)/AVERAGE(J$70:J$74))&lt;0.25,ISNUMBER(J70)),"Sim",IF(AND(J70&lt;=(AVERAGE(J$70:J$74)+STDEV(J$70:J$74)),J70&gt;=(AVERAGE(J$70:J$74)-STDEV(J$70:J$74)),ISNUMBER(J70)),"Sim","Não"))))</f>
        <v>Sim</v>
      </c>
      <c r="L70" s="77">
        <f>IF(K70="Sim",J70,"")</f>
        <v>2.72</v>
      </c>
      <c r="M70" s="281">
        <f>IF(I70="","",ROUND(IF(COUNT(I70:I74)=1,I70,IF((COUNT(L70:L74)&lt;3),MIN(L70:L74),AVERAGE(L70:L74))),2))</f>
        <v>2.72</v>
      </c>
      <c r="N70" s="282">
        <f>IF(M70="","",C70*M70)</f>
        <v>0</v>
      </c>
      <c r="P70" s="37"/>
      <c r="Q70" s="3"/>
      <c r="R70" s="3"/>
    </row>
    <row r="71" spans="1:18" ht="22.5">
      <c r="A71" s="278"/>
      <c r="B71" s="278"/>
      <c r="C71" s="279"/>
      <c r="D71" s="83" t="s">
        <v>378</v>
      </c>
      <c r="E71" s="373" t="s">
        <v>379</v>
      </c>
      <c r="F71" s="373"/>
      <c r="G71" s="83" t="s">
        <v>134</v>
      </c>
      <c r="H71" s="83" t="s">
        <v>380</v>
      </c>
      <c r="I71" s="75">
        <v>3.25</v>
      </c>
      <c r="J71" s="76">
        <f>IF(AND((STDEV(I$70:I$74)/AVERAGE(I$70:I$74))&lt;=0.25,ISNUMBER(I71)),I71,IF(AND(I71&lt;=(AVERAGE(I$70:I$74)+STDEV(I$70:I$74)),I71&gt;=(AVERAGE(I$70:I$74)-STDEV(I$70:I$74)),ISNUMBER(I71)),I71,""))</f>
        <v>3.25</v>
      </c>
      <c r="K71" s="77" t="str">
        <f>IF(I71="","",IF(AND(COUNT(I$70:I$74)=1,ISNUMBER(I71)),"Sim",IF(AND((STDEV(J$70:J$74)/AVERAGE(J$70:J$74))&lt;0.25,ISNUMBER(J71)),"Sim",IF(AND(J71&lt;=(AVERAGE(J$70:J$74)+STDEV(J$70:J$74)),J71&gt;=(AVERAGE(J$70:J$74)-STDEV(J$70:J$74)),ISNUMBER(J71)),"Sim","Não"))))</f>
        <v>Sim</v>
      </c>
      <c r="L71" s="77">
        <f t="shared" ref="L71:L74" si="13">IF(K71="Sim",J71,"")</f>
        <v>3.25</v>
      </c>
      <c r="M71" s="281"/>
      <c r="N71" s="282"/>
      <c r="P71" s="37"/>
      <c r="Q71" s="3"/>
      <c r="R71" s="3"/>
    </row>
    <row r="72" spans="1:18">
      <c r="A72" s="278"/>
      <c r="B72" s="278"/>
      <c r="C72" s="279"/>
      <c r="D72" s="80" t="s">
        <v>32</v>
      </c>
      <c r="E72" s="286">
        <v>45807</v>
      </c>
      <c r="F72" s="287"/>
      <c r="G72" s="105" t="s">
        <v>372</v>
      </c>
      <c r="H72" s="82" t="s">
        <v>373</v>
      </c>
      <c r="I72" s="75">
        <v>1.19</v>
      </c>
      <c r="J72" s="76" t="str">
        <f>IF(AND((STDEV(I$70:I$74)/AVERAGE(I$70:I$74))&lt;=0.25,ISNUMBER(I72)),I72,IF(AND(I72&lt;=(AVERAGE(I$70:I$74)+STDEV(I$70:I$74)),I72&gt;=(AVERAGE(I$70:I$74)-STDEV(I$70:I$74)),ISNUMBER(I72)),I72,""))</f>
        <v/>
      </c>
      <c r="K72" s="77" t="str">
        <f>IF(I72="","",IF(AND(COUNT(I$70:I$74)=1,ISNUMBER(I72)),"Sim",IF(AND((STDEV(J$70:J$74)/AVERAGE(J$70:J$74))&lt;0.25,ISNUMBER(J72)),"Sim",IF(AND(J72&lt;=(AVERAGE(J$70:J$74)+STDEV(J$70:J$74)),J72&gt;=(AVERAGE(J$70:J$74)-STDEV(J$70:J$74)),ISNUMBER(J72)),"Sim","Não"))))</f>
        <v>Não</v>
      </c>
      <c r="L72" s="77" t="str">
        <f t="shared" si="13"/>
        <v/>
      </c>
      <c r="M72" s="281"/>
      <c r="N72" s="282"/>
      <c r="P72" s="37"/>
      <c r="Q72" s="3"/>
      <c r="R72" s="3"/>
    </row>
    <row r="73" spans="1:18">
      <c r="A73" s="278"/>
      <c r="B73" s="278"/>
      <c r="C73" s="279"/>
      <c r="D73" s="80" t="s">
        <v>32</v>
      </c>
      <c r="E73" s="286">
        <v>45807</v>
      </c>
      <c r="F73" s="287"/>
      <c r="G73" s="105" t="s">
        <v>370</v>
      </c>
      <c r="H73" s="82" t="s">
        <v>371</v>
      </c>
      <c r="I73" s="75">
        <v>3.6</v>
      </c>
      <c r="J73" s="76" t="str">
        <f>IF(AND((STDEV(I$70:I$74)/AVERAGE(I$70:I$74))&lt;=0.25,ISNUMBER(I73)),I73,IF(AND(I73&lt;=(AVERAGE(I$70:I$74)+STDEV(I$70:I$74)),I73&gt;=(AVERAGE(I$70:I$74)-STDEV(I$70:I$74)),ISNUMBER(I73)),I73,""))</f>
        <v/>
      </c>
      <c r="K73" s="77" t="str">
        <f>IF(I73="","",IF(AND(COUNT(I$70:I$74)=1,ISNUMBER(I73)),"Sim",IF(AND((STDEV(J$70:J$74)/AVERAGE(J$70:J$74))&lt;0.25,ISNUMBER(J73)),"Sim",IF(AND(J73&lt;=(AVERAGE(J$70:J$74)+STDEV(J$70:J$74)),J73&gt;=(AVERAGE(J$70:J$74)-STDEV(J$70:J$74)),ISNUMBER(J73)),"Sim","Não"))))</f>
        <v>Não</v>
      </c>
      <c r="L73" s="77" t="str">
        <f t="shared" si="13"/>
        <v/>
      </c>
      <c r="M73" s="281"/>
      <c r="N73" s="282"/>
      <c r="P73" s="37"/>
      <c r="Q73" s="3"/>
      <c r="R73" s="3"/>
    </row>
    <row r="74" spans="1:18">
      <c r="A74" s="278"/>
      <c r="B74" s="278"/>
      <c r="C74" s="279"/>
      <c r="D74" s="80" t="s">
        <v>32</v>
      </c>
      <c r="E74" s="286">
        <v>45807</v>
      </c>
      <c r="F74" s="287"/>
      <c r="G74" s="105" t="s">
        <v>381</v>
      </c>
      <c r="H74" s="82" t="s">
        <v>382</v>
      </c>
      <c r="I74" s="75">
        <v>1.8</v>
      </c>
      <c r="J74" s="76">
        <f>IF(AND((STDEV(I$70:I$74)/AVERAGE(I$70:I$74))&lt;=0.25,ISNUMBER(I74)),I74,IF(AND(I74&lt;=(AVERAGE(I$70:I$74)+STDEV(I$70:I$74)),I74&gt;=(AVERAGE(I$70:I$74)-STDEV(I$70:I$74)),ISNUMBER(I74)),I74,""))</f>
        <v>1.8</v>
      </c>
      <c r="K74" s="77" t="str">
        <f>IF(I74="","",IF(AND(COUNT(I$70:I$74)=1,ISNUMBER(I74)),"Sim",IF(AND((STDEV(J$70:J$74)/AVERAGE(J$70:J$74))&lt;0.25,ISNUMBER(J74)),"Sim",IF(AND(J74&lt;=(AVERAGE(J$70:J$74)+STDEV(J$70:J$74)),J74&gt;=(AVERAGE(J$70:J$74)-STDEV(J$70:J$74)),ISNUMBER(J74)),"Sim","Não"))))</f>
        <v>Não</v>
      </c>
      <c r="L74" s="77" t="str">
        <f t="shared" si="13"/>
        <v/>
      </c>
      <c r="M74" s="281"/>
      <c r="N74" s="282"/>
      <c r="P74" s="37"/>
      <c r="Q74" s="3"/>
      <c r="R74" s="3"/>
    </row>
    <row r="75" spans="1:18">
      <c r="C75" s="10"/>
      <c r="D75" s="11"/>
      <c r="E75" s="31"/>
      <c r="F75" s="31"/>
      <c r="G75" s="158"/>
      <c r="H75" s="30"/>
      <c r="I75" s="13"/>
      <c r="J75" s="14"/>
      <c r="K75" s="15"/>
      <c r="L75" s="15"/>
      <c r="M75" s="16"/>
      <c r="N75" s="16"/>
      <c r="P75" s="37"/>
      <c r="Q75" s="3"/>
      <c r="R75" s="3"/>
    </row>
    <row r="76" spans="1:18">
      <c r="A76" s="260" t="s">
        <v>2</v>
      </c>
      <c r="B76" s="261"/>
      <c r="C76" s="261"/>
      <c r="D76" s="261"/>
      <c r="E76" s="262"/>
      <c r="F76" s="260" t="s">
        <v>3</v>
      </c>
      <c r="G76" s="261"/>
      <c r="H76" s="261"/>
      <c r="I76" s="260" t="s">
        <v>4</v>
      </c>
      <c r="J76" s="261"/>
      <c r="K76" s="261"/>
      <c r="L76" s="262"/>
      <c r="M76" s="260" t="s">
        <v>5</v>
      </c>
      <c r="N76" s="262"/>
      <c r="P76" s="37"/>
      <c r="Q76" s="3"/>
      <c r="R76" s="3"/>
    </row>
    <row r="77" spans="1:18">
      <c r="A77" s="263"/>
      <c r="B77" s="264"/>
      <c r="C77" s="264"/>
      <c r="D77" s="264"/>
      <c r="E77" s="265"/>
      <c r="F77" s="288" t="s">
        <v>383</v>
      </c>
      <c r="G77" s="289"/>
      <c r="H77" s="289"/>
      <c r="I77" s="269" t="s">
        <v>7</v>
      </c>
      <c r="J77" s="270"/>
      <c r="K77" s="270"/>
      <c r="L77" s="273"/>
      <c r="M77" s="335" t="s">
        <v>8</v>
      </c>
      <c r="N77" s="337"/>
      <c r="P77" s="37"/>
      <c r="Q77" s="3"/>
      <c r="R77" s="3"/>
    </row>
    <row r="78" spans="1:18">
      <c r="A78" s="266"/>
      <c r="B78" s="267"/>
      <c r="C78" s="267"/>
      <c r="D78" s="267"/>
      <c r="E78" s="268"/>
      <c r="F78" s="290"/>
      <c r="G78" s="291"/>
      <c r="H78" s="291"/>
      <c r="I78" s="271"/>
      <c r="J78" s="272"/>
      <c r="K78" s="272"/>
      <c r="L78" s="274"/>
      <c r="M78" s="275" t="s">
        <v>9</v>
      </c>
      <c r="N78" s="276"/>
      <c r="P78" s="37"/>
      <c r="Q78" s="3"/>
      <c r="R78" s="3"/>
    </row>
    <row r="79" spans="1:18" ht="22.5">
      <c r="A79" s="4" t="s">
        <v>10</v>
      </c>
      <c r="B79" s="4" t="s">
        <v>11</v>
      </c>
      <c r="C79" s="4" t="s">
        <v>12</v>
      </c>
      <c r="D79" s="5" t="s">
        <v>13</v>
      </c>
      <c r="E79" s="277" t="s">
        <v>14</v>
      </c>
      <c r="F79" s="277"/>
      <c r="G79" s="24" t="s">
        <v>15</v>
      </c>
      <c r="H79" s="24" t="s">
        <v>16</v>
      </c>
      <c r="I79" s="25" t="s">
        <v>17</v>
      </c>
      <c r="J79" s="4" t="s">
        <v>18</v>
      </c>
      <c r="K79" s="4"/>
      <c r="L79" s="4" t="s">
        <v>19</v>
      </c>
      <c r="M79" s="4" t="s">
        <v>20</v>
      </c>
      <c r="N79" s="4" t="s">
        <v>21</v>
      </c>
      <c r="P79" s="37"/>
      <c r="Q79" s="3"/>
      <c r="R79" s="3"/>
    </row>
    <row r="80" spans="1:18">
      <c r="A80" s="278"/>
      <c r="B80" s="278">
        <v>28</v>
      </c>
      <c r="C80" s="279"/>
      <c r="D80" s="83" t="s">
        <v>384</v>
      </c>
      <c r="E80" s="285" t="s">
        <v>385</v>
      </c>
      <c r="F80" s="285"/>
      <c r="G80" s="83" t="s">
        <v>386</v>
      </c>
      <c r="H80" s="83" t="s">
        <v>387</v>
      </c>
      <c r="I80" s="75">
        <v>1300</v>
      </c>
      <c r="J80" s="76">
        <f>IF(AND((STDEV(I$80:I$84)/AVERAGE(I$80:I$84))&lt;=0.25,ISNUMBER(I80)),I80,IF(AND(I80&lt;=(AVERAGE(I$80:I$84)+STDEV(I$80:I$84)),I80&gt;=(AVERAGE(I$80:I$84)-STDEV(I$80:I$84)),ISNUMBER(I80)),I80,""))</f>
        <v>1300</v>
      </c>
      <c r="K80" s="77" t="str">
        <f>IF(I80="","",IF(AND(COUNT(I$80:I$84)=1,ISNUMBER(I80)),"Sim",IF(AND((STDEV(J$80:J$84)/AVERAGE(J$80:J$84))&lt;0.25,ISNUMBER(J80)),"Sim",IF(AND(J80&lt;=(AVERAGE(J$80:J$84)+STDEV(J$80:J$84)),J80&gt;=(AVERAGE(J$80:J$84)-STDEV(J$80:J$84)),ISNUMBER(J80)),"Sim","Não"))))</f>
        <v>Sim</v>
      </c>
      <c r="L80" s="77">
        <f t="shared" ref="L80:L84" si="14">IF(K80="Sim",J80,"")</f>
        <v>1300</v>
      </c>
      <c r="M80" s="281">
        <f>IF(I80="","",ROUND(IF(COUNT(I80:I84)=1,I80,IF((COUNT(L80:L84)&lt;3),MIN(L80:L84),AVERAGE(L80:L84))),2))</f>
        <v>1370.2</v>
      </c>
      <c r="N80" s="282">
        <f>IF(M80="","",C80*M80)</f>
        <v>0</v>
      </c>
      <c r="P80" s="37"/>
      <c r="Q80" s="3"/>
      <c r="R80" s="3"/>
    </row>
    <row r="81" spans="1:18">
      <c r="A81" s="278"/>
      <c r="B81" s="278"/>
      <c r="C81" s="279"/>
      <c r="D81" s="83" t="s">
        <v>388</v>
      </c>
      <c r="E81" s="285" t="s">
        <v>389</v>
      </c>
      <c r="F81" s="285"/>
      <c r="G81" s="83" t="s">
        <v>390</v>
      </c>
      <c r="H81" s="83" t="s">
        <v>391</v>
      </c>
      <c r="I81" s="75">
        <v>1490</v>
      </c>
      <c r="J81" s="76">
        <f>IF(AND((STDEV(I$80:I$84)/AVERAGE(I$80:I$84))&lt;=0.25,ISNUMBER(I81)),I81,IF(AND(I81&lt;=(AVERAGE(I$80:I$84)+STDEV(I$80:I$84)),I81&gt;=(AVERAGE(I$80:I$84)-STDEV(I$80:I$84)),ISNUMBER(I81)),I81,""))</f>
        <v>1490</v>
      </c>
      <c r="K81" s="77" t="str">
        <f>IF(I81="","",IF(AND(COUNT(I$80:I$84)=1,ISNUMBER(I81)),"Sim",IF(AND((STDEV(J$80:J$84)/AVERAGE(J$80:J$84))&lt;0.25,ISNUMBER(J81)),"Sim",IF(AND(J81&lt;=(AVERAGE(J$80:J$84)+STDEV(J$80:J$84)),J81&gt;=(AVERAGE(J$80:J$84)-STDEV(J$80:J$84)),ISNUMBER(J81)),"Sim","Não"))))</f>
        <v>Sim</v>
      </c>
      <c r="L81" s="77">
        <f t="shared" si="14"/>
        <v>1490</v>
      </c>
      <c r="M81" s="281"/>
      <c r="N81" s="282"/>
      <c r="P81" s="37"/>
      <c r="Q81" s="3"/>
      <c r="R81" s="3"/>
    </row>
    <row r="82" spans="1:18">
      <c r="A82" s="278"/>
      <c r="B82" s="278"/>
      <c r="C82" s="279"/>
      <c r="D82" s="83" t="s">
        <v>325</v>
      </c>
      <c r="E82" s="285">
        <v>45328</v>
      </c>
      <c r="F82" s="285"/>
      <c r="G82" s="83" t="s">
        <v>392</v>
      </c>
      <c r="H82" s="83" t="s">
        <v>393</v>
      </c>
      <c r="I82" s="75">
        <v>1520</v>
      </c>
      <c r="J82" s="76">
        <f>IF(AND((STDEV(I$80:I$84)/AVERAGE(I$80:I$84))&lt;=0.25,ISNUMBER(I82)),I82,IF(AND(I82&lt;=(AVERAGE(I$80:I$84)+STDEV(I$80:I$84)),I82&gt;=(AVERAGE(I$80:I$84)-STDEV(I$80:I$84)),ISNUMBER(I82)),I82,""))</f>
        <v>1520</v>
      </c>
      <c r="K82" s="77" t="str">
        <f>IF(I82="","",IF(AND(COUNT(I$80:I$84)=1,ISNUMBER(I82)),"Sim",IF(AND((STDEV(J$80:J$84)/AVERAGE(J$80:J$84))&lt;0.25,ISNUMBER(J82)),"Sim",IF(AND(J82&lt;=(AVERAGE(J$80:J$84)+STDEV(J$80:J$84)),J82&gt;=(AVERAGE(J$80:J$84)-STDEV(J$80:J$84)),ISNUMBER(J82)),"Sim","Não"))))</f>
        <v>Sim</v>
      </c>
      <c r="L82" s="77">
        <f t="shared" si="14"/>
        <v>1520</v>
      </c>
      <c r="M82" s="281"/>
      <c r="N82" s="282"/>
      <c r="P82" s="37"/>
      <c r="Q82" s="3"/>
      <c r="R82" s="3"/>
    </row>
    <row r="83" spans="1:18">
      <c r="A83" s="278"/>
      <c r="B83" s="278"/>
      <c r="C83" s="279"/>
      <c r="D83" s="80" t="s">
        <v>32</v>
      </c>
      <c r="E83" s="286">
        <v>45807</v>
      </c>
      <c r="F83" s="287"/>
      <c r="G83" s="105" t="s">
        <v>394</v>
      </c>
      <c r="H83" s="82" t="s">
        <v>395</v>
      </c>
      <c r="I83" s="75">
        <v>1300</v>
      </c>
      <c r="J83" s="76">
        <f>IF(AND((STDEV(I$80:I$84)/AVERAGE(I$80:I$84))&lt;=0.25,ISNUMBER(I83)),I83,IF(AND(I83&lt;=(AVERAGE(I$80:I$84)+STDEV(I$80:I$84)),I83&gt;=(AVERAGE(I$80:I$84)-STDEV(I$80:I$84)),ISNUMBER(I83)),I83,""))</f>
        <v>1300</v>
      </c>
      <c r="K83" s="77" t="str">
        <f>IF(I83="","",IF(AND(COUNT(I$80:I$84)=1,ISNUMBER(I83)),"Sim",IF(AND((STDEV(J$80:J$84)/AVERAGE(J$80:J$84))&lt;0.25,ISNUMBER(J83)),"Sim",IF(AND(J83&lt;=(AVERAGE(J$80:J$84)+STDEV(J$80:J$84)),J83&gt;=(AVERAGE(J$80:J$84)-STDEV(J$80:J$84)),ISNUMBER(J83)),"Sim","Não"))))</f>
        <v>Sim</v>
      </c>
      <c r="L83" s="77">
        <f t="shared" si="14"/>
        <v>1300</v>
      </c>
      <c r="M83" s="281"/>
      <c r="N83" s="282"/>
      <c r="P83" s="37"/>
      <c r="Q83" s="3"/>
      <c r="R83" s="3"/>
    </row>
    <row r="84" spans="1:18">
      <c r="A84" s="278"/>
      <c r="B84" s="278"/>
      <c r="C84" s="279"/>
      <c r="D84" s="80" t="s">
        <v>32</v>
      </c>
      <c r="E84" s="286">
        <v>45807</v>
      </c>
      <c r="F84" s="287"/>
      <c r="G84" s="170" t="s">
        <v>396</v>
      </c>
      <c r="H84" s="82" t="s">
        <v>397</v>
      </c>
      <c r="I84" s="75">
        <v>1241</v>
      </c>
      <c r="J84" s="76">
        <f>IF(AND((STDEV(I$80:I$84)/AVERAGE(I$80:I$84))&lt;=0.25,ISNUMBER(I84)),I84,IF(AND(I84&lt;=(AVERAGE(I$80:I$84)+STDEV(I$80:I$84)),I84&gt;=(AVERAGE(I$80:I$84)-STDEV(I$80:I$84)),ISNUMBER(I84)),I84,""))</f>
        <v>1241</v>
      </c>
      <c r="K84" s="77" t="str">
        <f>IF(I84="","",IF(AND(COUNT(I$80:I$84)=1,ISNUMBER(I84)),"Sim",IF(AND((STDEV(J$80:J$84)/AVERAGE(J$80:J$84))&lt;0.25,ISNUMBER(J84)),"Sim",IF(AND(J84&lt;=(AVERAGE(J$80:J$84)+STDEV(J$80:J$84)),J84&gt;=(AVERAGE(J$80:J$84)-STDEV(J$80:J$84)),ISNUMBER(J84)),"Sim","Não"))))</f>
        <v>Sim</v>
      </c>
      <c r="L84" s="77">
        <f t="shared" si="14"/>
        <v>1241</v>
      </c>
      <c r="M84" s="281"/>
      <c r="N84" s="282"/>
      <c r="P84" s="37"/>
      <c r="Q84" s="3"/>
      <c r="R84" s="3"/>
    </row>
    <row r="85" spans="1:18">
      <c r="P85" s="37"/>
      <c r="Q85" s="3"/>
      <c r="R85" s="3"/>
    </row>
    <row r="86" spans="1:18">
      <c r="P86" s="37"/>
      <c r="Q86" s="3"/>
      <c r="R86" s="3"/>
    </row>
    <row r="87" spans="1:18">
      <c r="A87" s="260" t="s">
        <v>2</v>
      </c>
      <c r="B87" s="261"/>
      <c r="C87" s="261"/>
      <c r="D87" s="261"/>
      <c r="E87" s="262"/>
      <c r="F87" s="260" t="s">
        <v>3</v>
      </c>
      <c r="G87" s="261"/>
      <c r="H87" s="261"/>
      <c r="I87" s="260" t="s">
        <v>4</v>
      </c>
      <c r="J87" s="261"/>
      <c r="K87" s="261"/>
      <c r="L87" s="262"/>
      <c r="M87" s="260" t="s">
        <v>5</v>
      </c>
      <c r="N87" s="262"/>
      <c r="P87" s="37"/>
      <c r="Q87" s="3"/>
      <c r="R87" s="3"/>
    </row>
    <row r="88" spans="1:18">
      <c r="A88" s="263"/>
      <c r="B88" s="264"/>
      <c r="C88" s="264"/>
      <c r="D88" s="264"/>
      <c r="E88" s="265"/>
      <c r="F88" s="288" t="s">
        <v>398</v>
      </c>
      <c r="G88" s="289"/>
      <c r="H88" s="289"/>
      <c r="I88" s="269" t="s">
        <v>7</v>
      </c>
      <c r="J88" s="270"/>
      <c r="K88" s="270"/>
      <c r="L88" s="273"/>
      <c r="M88" s="271" t="s">
        <v>8</v>
      </c>
      <c r="N88" s="274"/>
      <c r="P88" s="37"/>
      <c r="Q88" s="3"/>
      <c r="R88" s="3"/>
    </row>
    <row r="89" spans="1:18">
      <c r="A89" s="266"/>
      <c r="B89" s="267"/>
      <c r="C89" s="267"/>
      <c r="D89" s="267"/>
      <c r="E89" s="268"/>
      <c r="F89" s="290"/>
      <c r="G89" s="291"/>
      <c r="H89" s="291"/>
      <c r="I89" s="271"/>
      <c r="J89" s="272"/>
      <c r="K89" s="272"/>
      <c r="L89" s="274"/>
      <c r="M89" s="275" t="s">
        <v>9</v>
      </c>
      <c r="N89" s="276"/>
      <c r="P89" s="37"/>
      <c r="Q89" s="3"/>
      <c r="R89" s="3"/>
    </row>
    <row r="90" spans="1:18" ht="22.5">
      <c r="A90" s="4" t="s">
        <v>10</v>
      </c>
      <c r="B90" s="4" t="s">
        <v>11</v>
      </c>
      <c r="C90" s="4" t="s">
        <v>12</v>
      </c>
      <c r="D90" s="5" t="s">
        <v>13</v>
      </c>
      <c r="E90" s="277" t="s">
        <v>14</v>
      </c>
      <c r="F90" s="277"/>
      <c r="G90" s="24" t="s">
        <v>15</v>
      </c>
      <c r="H90" s="24" t="s">
        <v>16</v>
      </c>
      <c r="I90" s="25" t="s">
        <v>17</v>
      </c>
      <c r="J90" s="4" t="s">
        <v>18</v>
      </c>
      <c r="K90" s="4"/>
      <c r="L90" s="4" t="s">
        <v>19</v>
      </c>
      <c r="M90" s="4" t="s">
        <v>20</v>
      </c>
      <c r="N90" s="4" t="s">
        <v>21</v>
      </c>
      <c r="P90" s="37"/>
      <c r="Q90" s="3"/>
      <c r="R90" s="3"/>
    </row>
    <row r="91" spans="1:18" ht="13.5" customHeight="1">
      <c r="A91" s="395"/>
      <c r="B91" s="374">
        <v>29</v>
      </c>
      <c r="C91" s="398">
        <v>2</v>
      </c>
      <c r="D91" s="83" t="s">
        <v>399</v>
      </c>
      <c r="E91" s="299" t="s">
        <v>400</v>
      </c>
      <c r="F91" s="300"/>
      <c r="G91" s="82" t="s">
        <v>401</v>
      </c>
      <c r="H91" s="82" t="s">
        <v>402</v>
      </c>
      <c r="I91" s="75">
        <v>5589</v>
      </c>
      <c r="J91" s="76">
        <f t="shared" ref="J91:J96" si="15">IF(AND((STDEV(I$91:I$96)/AVERAGE(I$91:I$96))&lt;=0.25,ISNUMBER(I91)),I91,IF(AND(I91&lt;=(AVERAGE(I$91:I$96)+STDEV(I$91:I$96)),I91&gt;=(AVERAGE(I$91:I$96)-STDEV(I$91:I$96)),ISNUMBER(I91)),I91,""))</f>
        <v>5589</v>
      </c>
      <c r="K91" s="77" t="str">
        <f t="shared" ref="K91:K96" si="16">IF(I91="","",IF(AND(COUNT(I$91:I$96)=1,ISNUMBER(I91)),"Sim",IF(AND((STDEV(J$91:J$96)/AVERAGE(J$91:J$96))&lt;0.25,ISNUMBER(J91)),"Sim",IF(AND(J91&lt;=(AVERAGE(J$91:J$96)+STDEV(J$91:J$96)),J91&gt;=(AVERAGE(J$91:J$96)-STDEV(J$91:J$96)),ISNUMBER(J91)),"Sim","Não"))))</f>
        <v>Sim</v>
      </c>
      <c r="L91" s="77">
        <f>IF(K91="Sim",J91,"")</f>
        <v>5589</v>
      </c>
      <c r="M91" s="281">
        <f>IF(I91="","",ROUND(IF(COUNT(I91:I96)=1,I91,IF((COUNT(L91:L96)&lt;3),MIN(L91:L96),AVERAGE(L91:L96))),2))</f>
        <v>4739.72</v>
      </c>
      <c r="N91" s="282">
        <f>IF(M91="","",C91*M91)</f>
        <v>9479.44</v>
      </c>
      <c r="P91" s="37"/>
      <c r="Q91" s="3"/>
      <c r="R91" s="3"/>
    </row>
    <row r="92" spans="1:18" ht="15" customHeight="1">
      <c r="A92" s="396"/>
      <c r="B92" s="375"/>
      <c r="C92" s="399"/>
      <c r="D92" s="83" t="s">
        <v>403</v>
      </c>
      <c r="E92" s="299" t="s">
        <v>404</v>
      </c>
      <c r="F92" s="300"/>
      <c r="G92" s="83" t="s">
        <v>405</v>
      </c>
      <c r="H92" s="82" t="s">
        <v>406</v>
      </c>
      <c r="I92" s="75">
        <v>4700</v>
      </c>
      <c r="J92" s="76">
        <f t="shared" si="15"/>
        <v>4700</v>
      </c>
      <c r="K92" s="77" t="str">
        <f t="shared" si="16"/>
        <v>Sim</v>
      </c>
      <c r="L92" s="77">
        <f t="shared" ref="L92:L96" si="17">IF(K92="Sim",J92,"")</f>
        <v>4700</v>
      </c>
      <c r="M92" s="281"/>
      <c r="N92" s="282"/>
      <c r="P92" s="37"/>
      <c r="Q92" s="3"/>
      <c r="R92" s="3"/>
    </row>
    <row r="93" spans="1:18">
      <c r="A93" s="396"/>
      <c r="B93" s="375"/>
      <c r="C93" s="399"/>
      <c r="D93" s="82" t="s">
        <v>32</v>
      </c>
      <c r="E93" s="286">
        <v>45807</v>
      </c>
      <c r="F93" s="287"/>
      <c r="G93" s="105" t="s">
        <v>407</v>
      </c>
      <c r="H93" s="122" t="s">
        <v>408</v>
      </c>
      <c r="I93" s="103">
        <v>5924.34</v>
      </c>
      <c r="J93" s="76">
        <f t="shared" si="15"/>
        <v>5924.34</v>
      </c>
      <c r="K93" s="77" t="str">
        <f t="shared" si="16"/>
        <v>Sim</v>
      </c>
      <c r="L93" s="77">
        <f t="shared" si="17"/>
        <v>5924.34</v>
      </c>
      <c r="M93" s="281"/>
      <c r="N93" s="282"/>
      <c r="P93" s="37"/>
      <c r="Q93" s="3"/>
      <c r="R93" s="3"/>
    </row>
    <row r="94" spans="1:18">
      <c r="A94" s="396"/>
      <c r="B94" s="375"/>
      <c r="C94" s="399"/>
      <c r="D94" s="82" t="s">
        <v>32</v>
      </c>
      <c r="E94" s="286">
        <v>45807</v>
      </c>
      <c r="F94" s="287"/>
      <c r="G94" s="105" t="s">
        <v>409</v>
      </c>
      <c r="H94" s="118" t="s">
        <v>410</v>
      </c>
      <c r="I94" s="103">
        <v>5500</v>
      </c>
      <c r="J94" s="76">
        <f t="shared" si="15"/>
        <v>5500</v>
      </c>
      <c r="K94" s="77" t="str">
        <f t="shared" si="16"/>
        <v>Sim</v>
      </c>
      <c r="L94" s="77">
        <f t="shared" si="17"/>
        <v>5500</v>
      </c>
      <c r="M94" s="281"/>
      <c r="N94" s="282"/>
      <c r="P94" s="37"/>
      <c r="Q94" s="3"/>
      <c r="R94" s="3"/>
    </row>
    <row r="95" spans="1:18">
      <c r="A95" s="396"/>
      <c r="B95" s="375"/>
      <c r="C95" s="399"/>
      <c r="D95" s="82" t="s">
        <v>32</v>
      </c>
      <c r="E95" s="286">
        <v>45807</v>
      </c>
      <c r="F95" s="287"/>
      <c r="G95" s="105" t="s">
        <v>411</v>
      </c>
      <c r="H95" s="118" t="s">
        <v>412</v>
      </c>
      <c r="I95" s="104">
        <v>3225</v>
      </c>
      <c r="J95" s="76">
        <f t="shared" si="15"/>
        <v>3225</v>
      </c>
      <c r="K95" s="77" t="str">
        <f t="shared" si="16"/>
        <v>Sim</v>
      </c>
      <c r="L95" s="77">
        <f t="shared" si="17"/>
        <v>3225</v>
      </c>
      <c r="M95" s="281"/>
      <c r="N95" s="282"/>
      <c r="P95" s="37"/>
      <c r="Q95" s="3"/>
      <c r="R95" s="3"/>
    </row>
    <row r="96" spans="1:18">
      <c r="A96" s="397"/>
      <c r="B96" s="376"/>
      <c r="C96" s="400"/>
      <c r="D96" s="82" t="s">
        <v>32</v>
      </c>
      <c r="E96" s="286">
        <v>45807</v>
      </c>
      <c r="F96" s="287"/>
      <c r="G96" s="100" t="s">
        <v>413</v>
      </c>
      <c r="H96" s="96" t="s">
        <v>414</v>
      </c>
      <c r="I96" s="102">
        <v>3500</v>
      </c>
      <c r="J96" s="76">
        <f t="shared" si="15"/>
        <v>3500</v>
      </c>
      <c r="K96" s="77" t="str">
        <f t="shared" si="16"/>
        <v>Sim</v>
      </c>
      <c r="L96" s="77">
        <f t="shared" si="17"/>
        <v>3500</v>
      </c>
      <c r="M96" s="281"/>
      <c r="N96" s="282"/>
      <c r="P96" s="37"/>
      <c r="Q96" s="3"/>
      <c r="R96" s="3"/>
    </row>
    <row r="97" spans="1:18">
      <c r="C97" s="10"/>
      <c r="D97" s="11"/>
      <c r="E97" s="11"/>
      <c r="F97" s="11"/>
      <c r="G97" s="22"/>
      <c r="H97" s="20"/>
      <c r="I97" s="21"/>
      <c r="J97" s="14"/>
      <c r="K97" s="15"/>
      <c r="L97" s="15"/>
      <c r="M97" s="16"/>
      <c r="N97" s="16"/>
      <c r="P97" s="37"/>
      <c r="Q97" s="3"/>
      <c r="R97" s="3"/>
    </row>
    <row r="98" spans="1:18">
      <c r="A98" s="392" t="s">
        <v>2</v>
      </c>
      <c r="B98" s="393"/>
      <c r="C98" s="393"/>
      <c r="D98" s="393"/>
      <c r="E98" s="394"/>
      <c r="F98" s="392" t="s">
        <v>3</v>
      </c>
      <c r="G98" s="393"/>
      <c r="H98" s="393"/>
      <c r="I98" s="260" t="s">
        <v>4</v>
      </c>
      <c r="J98" s="261"/>
      <c r="K98" s="261"/>
      <c r="L98" s="262"/>
      <c r="M98" s="260" t="s">
        <v>5</v>
      </c>
      <c r="N98" s="262"/>
      <c r="P98" s="37"/>
      <c r="Q98" s="3"/>
      <c r="R98" s="3"/>
    </row>
    <row r="99" spans="1:18" ht="15" customHeight="1">
      <c r="A99" s="381"/>
      <c r="B99" s="382"/>
      <c r="C99" s="382"/>
      <c r="D99" s="382"/>
      <c r="E99" s="383"/>
      <c r="F99" s="387" t="s">
        <v>415</v>
      </c>
      <c r="G99" s="388"/>
      <c r="H99" s="388"/>
      <c r="I99" s="269" t="s">
        <v>7</v>
      </c>
      <c r="J99" s="270"/>
      <c r="K99" s="270"/>
      <c r="L99" s="273"/>
      <c r="M99" s="335" t="s">
        <v>8</v>
      </c>
      <c r="N99" s="337"/>
      <c r="P99" s="37"/>
      <c r="Q99" s="3"/>
      <c r="R99" s="3"/>
    </row>
    <row r="100" spans="1:18">
      <c r="A100" s="384"/>
      <c r="B100" s="385"/>
      <c r="C100" s="385"/>
      <c r="D100" s="385"/>
      <c r="E100" s="386"/>
      <c r="F100" s="389"/>
      <c r="G100" s="390"/>
      <c r="H100" s="390"/>
      <c r="I100" s="271"/>
      <c r="J100" s="272"/>
      <c r="K100" s="272"/>
      <c r="L100" s="274"/>
      <c r="M100" s="275" t="s">
        <v>9</v>
      </c>
      <c r="N100" s="276"/>
      <c r="P100" s="37"/>
      <c r="Q100" s="3"/>
      <c r="R100" s="3"/>
    </row>
    <row r="101" spans="1:18" ht="22.5">
      <c r="A101" s="32" t="s">
        <v>10</v>
      </c>
      <c r="B101" s="32" t="s">
        <v>11</v>
      </c>
      <c r="C101" s="32" t="s">
        <v>12</v>
      </c>
      <c r="D101" s="33" t="s">
        <v>13</v>
      </c>
      <c r="E101" s="391" t="s">
        <v>14</v>
      </c>
      <c r="F101" s="391"/>
      <c r="G101" s="34" t="s">
        <v>15</v>
      </c>
      <c r="H101" s="34" t="s">
        <v>16</v>
      </c>
      <c r="I101" s="25" t="s">
        <v>17</v>
      </c>
      <c r="J101" s="4" t="s">
        <v>18</v>
      </c>
      <c r="K101" s="4"/>
      <c r="L101" s="4" t="s">
        <v>19</v>
      </c>
      <c r="M101" s="4" t="s">
        <v>20</v>
      </c>
      <c r="N101" s="4" t="s">
        <v>21</v>
      </c>
      <c r="P101" s="37"/>
      <c r="Q101" s="3"/>
      <c r="R101" s="3"/>
    </row>
    <row r="102" spans="1:18" ht="15" customHeight="1">
      <c r="A102" s="374"/>
      <c r="B102" s="374">
        <v>30</v>
      </c>
      <c r="C102" s="279"/>
      <c r="D102" s="82" t="s">
        <v>32</v>
      </c>
      <c r="E102" s="373">
        <v>45810</v>
      </c>
      <c r="F102" s="373"/>
      <c r="G102" s="179" t="s">
        <v>416</v>
      </c>
      <c r="H102" s="122" t="s">
        <v>417</v>
      </c>
      <c r="I102" s="75">
        <v>9.7420000000000009</v>
      </c>
      <c r="J102" s="76">
        <f>IF(AND((STDEV(I$102:I$106)/AVERAGE(I$102:I$106))&lt;=0.25,ISNUMBER(I102)),I102,IF(AND(I102&lt;=(AVERAGE(I$102:I$106)+STDEV(I$102:I$106)),I102&gt;=(AVERAGE(I$102:I$106)-STDEV(I$102:I$106)),ISNUMBER(I102)),I102,""))</f>
        <v>9.7420000000000009</v>
      </c>
      <c r="K102" s="77" t="str">
        <f>IF(I102="","",IF(AND(COUNT(I$102:I$106)=1,ISNUMBER(I102)),"Sim",IF(AND((STDEV(J$102:J$106)/AVERAGE(J$102:J$106))&lt;0.25,ISNUMBER(J102)),"Sim",IF(AND(J102&lt;=(AVERAGE(J$102:J$106)+STDEV(J$102:J$106)),J102&gt;=(AVERAGE(J$102:J$106)-STDEV(J$102:J$106)),ISNUMBER(J102)),"Sim","Não"))))</f>
        <v>Sim</v>
      </c>
      <c r="L102" s="77">
        <f>IF(K102="Sim",J102,"")</f>
        <v>9.7420000000000009</v>
      </c>
      <c r="M102" s="281">
        <f>IF(I102="","",ROUND(IF(COUNT(I102:I106)=1,I102,IF((COUNT(L102:L106)&lt;3),MIN(L102:L106),AVERAGE(L102:L106))),2))</f>
        <v>10.53</v>
      </c>
      <c r="N102" s="282">
        <f>IF(M102="","",C102*M102)</f>
        <v>0</v>
      </c>
      <c r="P102" s="37"/>
      <c r="Q102" s="3"/>
      <c r="R102" s="3"/>
    </row>
    <row r="103" spans="1:18">
      <c r="A103" s="375"/>
      <c r="B103" s="375"/>
      <c r="C103" s="279"/>
      <c r="D103" s="82" t="s">
        <v>32</v>
      </c>
      <c r="E103" s="286">
        <v>45807</v>
      </c>
      <c r="F103" s="287"/>
      <c r="G103" s="105" t="s">
        <v>407</v>
      </c>
      <c r="H103" s="122" t="s">
        <v>408</v>
      </c>
      <c r="I103" s="103">
        <f>498.02/50</f>
        <v>9.9603999999999999</v>
      </c>
      <c r="J103" s="76">
        <f>IF(AND((STDEV(I$102:I$106)/AVERAGE(I$102:I$106))&lt;=0.25,ISNUMBER(I103)),I103,IF(AND(I103&lt;=(AVERAGE(I$102:I$106)+STDEV(I$102:I$106)),I103&gt;=(AVERAGE(I$102:I$106)-STDEV(I$102:I$106)),ISNUMBER(I103)),I103,""))</f>
        <v>9.9603999999999999</v>
      </c>
      <c r="K103" s="77" t="str">
        <f>IF(I103="","",IF(AND(COUNT(I$102:I$106)=1,ISNUMBER(I103)),"Sim",IF(AND((STDEV(J$102:J$106)/AVERAGE(J$102:J$106))&lt;0.25,ISNUMBER(J103)),"Sim",IF(AND(J103&lt;=(AVERAGE(J$102:J$106)+STDEV(J$102:J$106)),J103&gt;=(AVERAGE(J$102:J$106)-STDEV(J$102:J$106)),ISNUMBER(J103)),"Sim","Não"))))</f>
        <v>Sim</v>
      </c>
      <c r="L103" s="77">
        <f t="shared" ref="L103:L106" si="18">IF(K103="Sim",J103,"")</f>
        <v>9.9603999999999999</v>
      </c>
      <c r="M103" s="281"/>
      <c r="N103" s="282"/>
      <c r="P103" s="37"/>
      <c r="Q103" s="3"/>
      <c r="R103" s="3"/>
    </row>
    <row r="104" spans="1:18">
      <c r="A104" s="375"/>
      <c r="B104" s="375"/>
      <c r="C104" s="279"/>
      <c r="D104" s="82" t="s">
        <v>32</v>
      </c>
      <c r="E104" s="286">
        <v>45807</v>
      </c>
      <c r="F104" s="287"/>
      <c r="G104" s="105" t="s">
        <v>418</v>
      </c>
      <c r="H104" s="122" t="s">
        <v>419</v>
      </c>
      <c r="I104" s="103">
        <f>119/10</f>
        <v>11.9</v>
      </c>
      <c r="J104" s="76">
        <f>IF(AND((STDEV(I$102:I$106)/AVERAGE(I$102:I$106))&lt;=0.25,ISNUMBER(I104)),I104,IF(AND(I104&lt;=(AVERAGE(I$102:I$106)+STDEV(I$102:I$106)),I104&gt;=(AVERAGE(I$102:I$106)-STDEV(I$102:I$106)),ISNUMBER(I104)),I104,""))</f>
        <v>11.9</v>
      </c>
      <c r="K104" s="77" t="str">
        <f>IF(I104="","",IF(AND(COUNT(I$102:I$106)=1,ISNUMBER(I104)),"Sim",IF(AND((STDEV(J$102:J$106)/AVERAGE(J$102:J$106))&lt;0.25,ISNUMBER(J104)),"Sim",IF(AND(J104&lt;=(AVERAGE(J$102:J$106)+STDEV(J$102:J$106)),J104&gt;=(AVERAGE(J$102:J$106)-STDEV(J$102:J$106)),ISNUMBER(J104)),"Sim","Não"))))</f>
        <v>Sim</v>
      </c>
      <c r="L104" s="77">
        <f t="shared" si="18"/>
        <v>11.9</v>
      </c>
      <c r="M104" s="281"/>
      <c r="N104" s="282"/>
      <c r="P104" s="37"/>
      <c r="Q104" s="3"/>
      <c r="R104" s="3"/>
    </row>
    <row r="105" spans="1:18">
      <c r="A105" s="375"/>
      <c r="B105" s="375"/>
      <c r="C105" s="279"/>
      <c r="D105" s="82" t="s">
        <v>32</v>
      </c>
      <c r="E105" s="286">
        <v>45807</v>
      </c>
      <c r="F105" s="287"/>
      <c r="G105" s="105" t="s">
        <v>420</v>
      </c>
      <c r="H105" s="122" t="s">
        <v>421</v>
      </c>
      <c r="I105" s="104">
        <f>105/10</f>
        <v>10.5</v>
      </c>
      <c r="J105" s="76">
        <f>IF(AND((STDEV(I$102:I$106)/AVERAGE(I$102:I$106))&lt;=0.25,ISNUMBER(I105)),I105,IF(AND(I105&lt;=(AVERAGE(I$102:I$106)+STDEV(I$102:I$106)),I105&gt;=(AVERAGE(I$102:I$106)-STDEV(I$102:I$106)),ISNUMBER(I105)),I105,""))</f>
        <v>10.5</v>
      </c>
      <c r="K105" s="77" t="str">
        <f>IF(I105="","",IF(AND(COUNT(I$102:I$106)=1,ISNUMBER(I105)),"Sim",IF(AND((STDEV(J$102:J$106)/AVERAGE(J$102:J$106))&lt;0.25,ISNUMBER(J105)),"Sim",IF(AND(J105&lt;=(AVERAGE(J$102:J$106)+STDEV(J$102:J$106)),J105&gt;=(AVERAGE(J$102:J$106)-STDEV(J$102:J$106)),ISNUMBER(J105)),"Sim","Não"))))</f>
        <v>Sim</v>
      </c>
      <c r="L105" s="77">
        <f t="shared" si="18"/>
        <v>10.5</v>
      </c>
      <c r="M105" s="281"/>
      <c r="N105" s="282"/>
      <c r="P105" s="37"/>
      <c r="Q105" s="3"/>
      <c r="R105" s="3"/>
    </row>
    <row r="106" spans="1:18">
      <c r="A106" s="376"/>
      <c r="B106" s="376"/>
      <c r="C106" s="279"/>
      <c r="D106" s="82"/>
      <c r="E106" s="286"/>
      <c r="F106" s="287"/>
      <c r="G106" s="105"/>
      <c r="H106" s="122"/>
      <c r="I106" s="104"/>
      <c r="J106" s="76" t="str">
        <f>IF(AND((STDEV(I$102:I$106)/AVERAGE(I$102:I$106))&lt;=0.25,ISNUMBER(I106)),I106,IF(AND(I106&lt;=(AVERAGE(I$102:I$106)+STDEV(I$102:I$106)),I106&gt;=(AVERAGE(I$102:I$106)-STDEV(I$102:I$106)),ISNUMBER(I106)),I106,""))</f>
        <v/>
      </c>
      <c r="K106" s="77" t="str">
        <f>IF(I106="","",IF(AND(COUNT(I$102:I$106)=1,ISNUMBER(I106)),"Sim",IF(AND((STDEV(J$102:J$106)/AVERAGE(J$102:J$106))&lt;0.25,ISNUMBER(J106)),"Sim",IF(AND(J106&lt;=(AVERAGE(J$102:J$106)+STDEV(J$102:J$106)),J106&gt;=(AVERAGE(J$102:J$106)-STDEV(J$102:J$106)),ISNUMBER(J106)),"Sim","Não"))))</f>
        <v/>
      </c>
      <c r="L106" s="77" t="str">
        <f t="shared" si="18"/>
        <v/>
      </c>
      <c r="M106" s="281"/>
      <c r="N106" s="282"/>
      <c r="P106" s="37"/>
      <c r="Q106" s="3"/>
      <c r="R106" s="3"/>
    </row>
    <row r="107" spans="1:18">
      <c r="P107" s="37"/>
      <c r="Q107" s="3"/>
      <c r="R107" s="3"/>
    </row>
    <row r="108" spans="1:18">
      <c r="P108" s="37"/>
      <c r="Q108" s="3"/>
      <c r="R108" s="3"/>
    </row>
    <row r="109" spans="1:18">
      <c r="A109" s="260" t="s">
        <v>2</v>
      </c>
      <c r="B109" s="261"/>
      <c r="C109" s="261"/>
      <c r="D109" s="261"/>
      <c r="E109" s="262"/>
      <c r="F109" s="260" t="s">
        <v>3</v>
      </c>
      <c r="G109" s="261"/>
      <c r="H109" s="261"/>
      <c r="I109" s="260" t="s">
        <v>4</v>
      </c>
      <c r="J109" s="261"/>
      <c r="K109" s="261"/>
      <c r="L109" s="262"/>
      <c r="M109" s="260" t="s">
        <v>5</v>
      </c>
      <c r="N109" s="262"/>
      <c r="P109" s="37"/>
      <c r="Q109" s="3"/>
      <c r="R109" s="3"/>
    </row>
    <row r="110" spans="1:18">
      <c r="A110" s="263"/>
      <c r="B110" s="264"/>
      <c r="C110" s="264"/>
      <c r="D110" s="264"/>
      <c r="E110" s="265"/>
      <c r="F110" s="288" t="s">
        <v>422</v>
      </c>
      <c r="G110" s="289"/>
      <c r="H110" s="289"/>
      <c r="I110" s="269" t="s">
        <v>7</v>
      </c>
      <c r="J110" s="270"/>
      <c r="K110" s="270"/>
      <c r="L110" s="273"/>
      <c r="M110" s="335" t="s">
        <v>8</v>
      </c>
      <c r="N110" s="337"/>
      <c r="P110" s="37"/>
      <c r="Q110" s="3"/>
      <c r="R110" s="3"/>
    </row>
    <row r="111" spans="1:18">
      <c r="A111" s="266"/>
      <c r="B111" s="267"/>
      <c r="C111" s="267"/>
      <c r="D111" s="267"/>
      <c r="E111" s="268"/>
      <c r="F111" s="290"/>
      <c r="G111" s="291"/>
      <c r="H111" s="291"/>
      <c r="I111" s="271"/>
      <c r="J111" s="272"/>
      <c r="K111" s="272"/>
      <c r="L111" s="274"/>
      <c r="M111" s="275" t="s">
        <v>9</v>
      </c>
      <c r="N111" s="276"/>
      <c r="P111" s="37"/>
      <c r="Q111" s="3"/>
      <c r="R111" s="3"/>
    </row>
    <row r="112" spans="1:18" ht="22.5">
      <c r="A112" s="4" t="s">
        <v>10</v>
      </c>
      <c r="B112" s="4" t="s">
        <v>11</v>
      </c>
      <c r="C112" s="4" t="s">
        <v>12</v>
      </c>
      <c r="D112" s="5" t="s">
        <v>13</v>
      </c>
      <c r="E112" s="277" t="s">
        <v>14</v>
      </c>
      <c r="F112" s="277"/>
      <c r="G112" s="24" t="s">
        <v>15</v>
      </c>
      <c r="H112" s="24" t="s">
        <v>16</v>
      </c>
      <c r="I112" s="25" t="s">
        <v>17</v>
      </c>
      <c r="J112" s="4" t="s">
        <v>18</v>
      </c>
      <c r="K112" s="4"/>
      <c r="L112" s="4" t="s">
        <v>19</v>
      </c>
      <c r="M112" s="4" t="s">
        <v>20</v>
      </c>
      <c r="N112" s="4" t="s">
        <v>21</v>
      </c>
      <c r="P112" s="37"/>
      <c r="Q112" s="3"/>
      <c r="R112" s="3"/>
    </row>
    <row r="113" spans="1:18" ht="15" customHeight="1">
      <c r="A113" s="278"/>
      <c r="B113" s="278">
        <v>31</v>
      </c>
      <c r="C113" s="279"/>
      <c r="D113" s="83" t="s">
        <v>423</v>
      </c>
      <c r="E113" s="373">
        <v>45687</v>
      </c>
      <c r="F113" s="373"/>
      <c r="G113" s="82" t="s">
        <v>424</v>
      </c>
      <c r="H113" s="82" t="s">
        <v>425</v>
      </c>
      <c r="I113" s="75">
        <v>98</v>
      </c>
      <c r="J113" s="76">
        <f>IF(AND((STDEV(I$113:I$117)/AVERAGE(I$113:I$117))&lt;=0.25,ISNUMBER(I113)),I113,IF(AND(I113&lt;=(AVERAGE(I$113:I$117)+STDEV(I$113:I$117)),I113&gt;=(AVERAGE(I$113:I$117)-STDEV(I$113:I$117)),ISNUMBER(I113)),I113,""))</f>
        <v>98</v>
      </c>
      <c r="K113" s="77" t="str">
        <f>IF(I113="","",IF(AND(COUNT(I$113:I$117)=1,ISNUMBER(I113)),"Sim",IF(AND((STDEV(J$113:J$117)/AVERAGE(J$113:J$117))&lt;0.25,ISNUMBER(J113)),"Sim",IF(AND(J113&lt;=(AVERAGE(J$113:J$117)+STDEV(J$113:J$117)),J113&gt;=(AVERAGE(J$113:J$117)-STDEV(J$113:J$117)),ISNUMBER(J113)),"Sim","Não"))))</f>
        <v>Sim</v>
      </c>
      <c r="L113" s="77">
        <f>IF(K113="Sim",J113,"")</f>
        <v>98</v>
      </c>
      <c r="M113" s="281">
        <f>IF(I113="","",ROUND(IF(COUNT(I113:I117)=1,I113,IF((COUNT(L113:L117)&lt;3),MIN(L113:L117),AVERAGE(L113:L117))),2))</f>
        <v>93.67</v>
      </c>
      <c r="N113" s="282">
        <f>IF(M113="","",C113*M113)</f>
        <v>0</v>
      </c>
      <c r="P113" s="37"/>
      <c r="Q113" s="3"/>
      <c r="R113" s="3"/>
    </row>
    <row r="114" spans="1:18">
      <c r="A114" s="278"/>
      <c r="B114" s="278"/>
      <c r="C114" s="279"/>
      <c r="D114" s="83" t="s">
        <v>73</v>
      </c>
      <c r="E114" s="373" t="s">
        <v>163</v>
      </c>
      <c r="F114" s="373"/>
      <c r="G114" s="83" t="s">
        <v>426</v>
      </c>
      <c r="H114" s="121" t="s">
        <v>427</v>
      </c>
      <c r="I114" s="75">
        <v>105</v>
      </c>
      <c r="J114" s="76">
        <f>IF(AND((STDEV(I$113:I$117)/AVERAGE(I$113:I$117))&lt;=0.25,ISNUMBER(I114)),I114,IF(AND(I114&lt;=(AVERAGE(I$113:I$117)+STDEV(I$113:I$117)),I114&gt;=(AVERAGE(I$113:I$117)-STDEV(I$113:I$117)),ISNUMBER(I114)),I114,""))</f>
        <v>105</v>
      </c>
      <c r="K114" s="77" t="str">
        <f>IF(I114="","",IF(AND(COUNT(I$113:I$117)=1,ISNUMBER(I114)),"Sim",IF(AND((STDEV(J$113:J$117)/AVERAGE(J$113:J$117))&lt;0.25,ISNUMBER(J114)),"Sim",IF(AND(J114&lt;=(AVERAGE(J$113:J$117)+STDEV(J$113:J$117)),J114&gt;=(AVERAGE(J$113:J$117)-STDEV(J$113:J$117)),ISNUMBER(J114)),"Sim","Não"))))</f>
        <v>Sim</v>
      </c>
      <c r="L114" s="77">
        <f t="shared" ref="L114:L117" si="19">IF(K114="Sim",J114,"")</f>
        <v>105</v>
      </c>
      <c r="M114" s="281"/>
      <c r="N114" s="282"/>
      <c r="P114" s="37"/>
      <c r="Q114" s="3"/>
      <c r="R114" s="3"/>
    </row>
    <row r="115" spans="1:18">
      <c r="A115" s="278"/>
      <c r="B115" s="278"/>
      <c r="C115" s="279"/>
      <c r="D115" s="82" t="s">
        <v>32</v>
      </c>
      <c r="E115" s="286">
        <v>45807</v>
      </c>
      <c r="F115" s="287"/>
      <c r="G115" s="105" t="s">
        <v>172</v>
      </c>
      <c r="H115" s="165" t="s">
        <v>428</v>
      </c>
      <c r="I115" s="103">
        <v>78</v>
      </c>
      <c r="J115" s="76">
        <f>IF(AND((STDEV(I$113:I$117)/AVERAGE(I$113:I$117))&lt;=0.25,ISNUMBER(I115)),I115,IF(AND(I115&lt;=(AVERAGE(I$113:I$117)+STDEV(I$113:I$117)),I115&gt;=(AVERAGE(I$113:I$117)-STDEV(I$113:I$117)),ISNUMBER(I115)),I115,""))</f>
        <v>78</v>
      </c>
      <c r="K115" s="77" t="str">
        <f>IF(I115="","",IF(AND(COUNT(I$113:I$117)=1,ISNUMBER(I115)),"Sim",IF(AND((STDEV(J$113:J$117)/AVERAGE(J$113:J$117))&lt;0.25,ISNUMBER(J115)),"Sim",IF(AND(J115&lt;=(AVERAGE(J$113:J$117)+STDEV(J$113:J$117)),J115&gt;=(AVERAGE(J$113:J$117)-STDEV(J$113:J$117)),ISNUMBER(J115)),"Sim","Não"))))</f>
        <v>Sim</v>
      </c>
      <c r="L115" s="77">
        <f t="shared" si="19"/>
        <v>78</v>
      </c>
      <c r="M115" s="281"/>
      <c r="N115" s="282"/>
      <c r="P115" s="37"/>
      <c r="Q115" s="3"/>
      <c r="R115" s="3"/>
    </row>
    <row r="116" spans="1:18">
      <c r="A116" s="278"/>
      <c r="B116" s="278"/>
      <c r="C116" s="279"/>
      <c r="D116" s="82" t="s">
        <v>32</v>
      </c>
      <c r="E116" s="286">
        <v>45807</v>
      </c>
      <c r="F116" s="287"/>
      <c r="G116" s="105" t="s">
        <v>429</v>
      </c>
      <c r="H116" s="122" t="s">
        <v>430</v>
      </c>
      <c r="I116" s="103">
        <v>59</v>
      </c>
      <c r="J116" s="76" t="str">
        <f>IF(AND((STDEV(I$113:I$117)/AVERAGE(I$113:I$117))&lt;=0.25,ISNUMBER(I116)),I116,IF(AND(I116&lt;=(AVERAGE(I$113:I$117)+STDEV(I$113:I$117)),I116&gt;=(AVERAGE(I$113:I$117)-STDEV(I$113:I$117)),ISNUMBER(I116)),I116,""))</f>
        <v/>
      </c>
      <c r="K116" s="77" t="str">
        <f>IF(I116="","",IF(AND(COUNT(I$113:I$117)=1,ISNUMBER(I116)),"Sim",IF(AND((STDEV(J$113:J$117)/AVERAGE(J$113:J$117))&lt;0.25,ISNUMBER(J116)),"Sim",IF(AND(J116&lt;=(AVERAGE(J$113:J$117)+STDEV(J$113:J$117)),J116&gt;=(AVERAGE(J$113:J$117)-STDEV(J$113:J$117)),ISNUMBER(J116)),"Sim","Não"))))</f>
        <v>Não</v>
      </c>
      <c r="L116" s="77" t="str">
        <f t="shared" si="19"/>
        <v/>
      </c>
      <c r="M116" s="281"/>
      <c r="N116" s="282"/>
      <c r="P116" s="37"/>
      <c r="Q116" s="3"/>
      <c r="R116" s="3"/>
    </row>
    <row r="117" spans="1:18">
      <c r="A117" s="278"/>
      <c r="B117" s="278"/>
      <c r="C117" s="279"/>
      <c r="D117" s="82" t="s">
        <v>32</v>
      </c>
      <c r="E117" s="286">
        <v>45807</v>
      </c>
      <c r="F117" s="287"/>
      <c r="G117" s="105" t="s">
        <v>337</v>
      </c>
      <c r="H117" s="82" t="s">
        <v>338</v>
      </c>
      <c r="I117" s="104">
        <v>148.19999999999999</v>
      </c>
      <c r="J117" s="76" t="str">
        <f>IF(AND((STDEV(I$113:I$117)/AVERAGE(I$113:I$117))&lt;=0.25,ISNUMBER(I117)),I117,IF(AND(I117&lt;=(AVERAGE(I$113:I$117)+STDEV(I$113:I$117)),I117&gt;=(AVERAGE(I$113:I$117)-STDEV(I$113:I$117)),ISNUMBER(I117)),I117,""))</f>
        <v/>
      </c>
      <c r="K117" s="77" t="str">
        <f>IF(I117="","",IF(AND(COUNT(I$113:I$117)=1,ISNUMBER(I117)),"Sim",IF(AND((STDEV(J$113:J$117)/AVERAGE(J$113:J$117))&lt;0.25,ISNUMBER(J117)),"Sim",IF(AND(J117&lt;=(AVERAGE(J$113:J$117)+STDEV(J$113:J$117)),J117&gt;=(AVERAGE(J$113:J$117)-STDEV(J$113:J$117)),ISNUMBER(J117)),"Sim","Não"))))</f>
        <v>Não</v>
      </c>
      <c r="L117" s="77" t="str">
        <f t="shared" si="19"/>
        <v/>
      </c>
      <c r="M117" s="281"/>
      <c r="N117" s="282"/>
      <c r="P117" s="37"/>
      <c r="Q117" s="3"/>
      <c r="R117" s="3"/>
    </row>
    <row r="118" spans="1:18">
      <c r="G118" s="39"/>
      <c r="P118" s="37"/>
      <c r="Q118" s="3"/>
      <c r="R118" s="3"/>
    </row>
    <row r="119" spans="1:18">
      <c r="A119" s="260" t="s">
        <v>2</v>
      </c>
      <c r="B119" s="261"/>
      <c r="C119" s="261"/>
      <c r="D119" s="261"/>
      <c r="E119" s="262"/>
      <c r="F119" s="260" t="s">
        <v>3</v>
      </c>
      <c r="G119" s="261"/>
      <c r="H119" s="261"/>
      <c r="I119" s="260" t="s">
        <v>4</v>
      </c>
      <c r="J119" s="261"/>
      <c r="K119" s="261"/>
      <c r="L119" s="262"/>
      <c r="M119" s="260" t="s">
        <v>5</v>
      </c>
      <c r="N119" s="262"/>
      <c r="P119" s="37"/>
      <c r="Q119" s="3"/>
      <c r="R119" s="3"/>
    </row>
    <row r="120" spans="1:18">
      <c r="A120" s="263"/>
      <c r="B120" s="264"/>
      <c r="C120" s="264"/>
      <c r="D120" s="264"/>
      <c r="E120" s="265"/>
      <c r="F120" s="288" t="s">
        <v>431</v>
      </c>
      <c r="G120" s="289"/>
      <c r="H120" s="289"/>
      <c r="I120" s="269" t="s">
        <v>7</v>
      </c>
      <c r="J120" s="270"/>
      <c r="K120" s="270"/>
      <c r="L120" s="273"/>
      <c r="M120" s="335" t="s">
        <v>8</v>
      </c>
      <c r="N120" s="337"/>
      <c r="P120" s="37"/>
      <c r="Q120" s="3"/>
      <c r="R120" s="3"/>
    </row>
    <row r="121" spans="1:18">
      <c r="A121" s="266"/>
      <c r="B121" s="267"/>
      <c r="C121" s="267"/>
      <c r="D121" s="267"/>
      <c r="E121" s="268"/>
      <c r="F121" s="290"/>
      <c r="G121" s="291"/>
      <c r="H121" s="291"/>
      <c r="I121" s="271"/>
      <c r="J121" s="272"/>
      <c r="K121" s="272"/>
      <c r="L121" s="274"/>
      <c r="M121" s="275" t="s">
        <v>9</v>
      </c>
      <c r="N121" s="276"/>
      <c r="P121" s="37"/>
      <c r="Q121" s="3"/>
      <c r="R121" s="3"/>
    </row>
    <row r="122" spans="1:18" ht="22.5">
      <c r="A122" s="4" t="s">
        <v>10</v>
      </c>
      <c r="B122" s="4" t="s">
        <v>11</v>
      </c>
      <c r="C122" s="4" t="s">
        <v>12</v>
      </c>
      <c r="D122" s="5" t="s">
        <v>13</v>
      </c>
      <c r="E122" s="277" t="s">
        <v>14</v>
      </c>
      <c r="F122" s="277"/>
      <c r="G122" s="24" t="s">
        <v>15</v>
      </c>
      <c r="H122" s="24" t="s">
        <v>16</v>
      </c>
      <c r="I122" s="25" t="s">
        <v>17</v>
      </c>
      <c r="J122" s="4" t="s">
        <v>18</v>
      </c>
      <c r="K122" s="4"/>
      <c r="L122" s="4" t="s">
        <v>19</v>
      </c>
      <c r="M122" s="4" t="s">
        <v>20</v>
      </c>
      <c r="N122" s="4" t="s">
        <v>21</v>
      </c>
      <c r="P122" s="37"/>
      <c r="Q122" s="3"/>
      <c r="R122" s="3"/>
    </row>
    <row r="123" spans="1:18" ht="17.25" customHeight="1">
      <c r="A123" s="278"/>
      <c r="B123" s="278">
        <v>32</v>
      </c>
      <c r="C123" s="279"/>
      <c r="D123" s="83" t="s">
        <v>353</v>
      </c>
      <c r="E123" s="285" t="s">
        <v>326</v>
      </c>
      <c r="F123" s="285"/>
      <c r="G123" s="82" t="s">
        <v>432</v>
      </c>
      <c r="H123" s="82" t="s">
        <v>433</v>
      </c>
      <c r="I123" s="75">
        <v>18.600000000000001</v>
      </c>
      <c r="J123" s="76">
        <f>IF(AND((STDEV(I$123:I$127)/AVERAGE(I$123:I$127))&lt;=0.25,ISNUMBER(I123)),I123,IF(AND(I123&lt;=(AVERAGE(I$123:I$127)+STDEV(I$123:I$127)),I123&gt;=(AVERAGE(I$123:I$127)-STDEV(I$123:I$127)),ISNUMBER(I123)),I123,""))</f>
        <v>18.600000000000001</v>
      </c>
      <c r="K123" s="77" t="str">
        <f>IF(I123="","",IF(AND(COUNT(I$123:I$127)=1,ISNUMBER(I123)),"Sim",IF(AND((STDEV(J$123:J$127)/AVERAGE(J$123:J$127))&lt;0.25,ISNUMBER(J123)),"Sim",IF(AND(J123&lt;=(AVERAGE(J$123:J$127)+STDEV(J$123:J$127)),J123&gt;=(AVERAGE(J$123:J$127)-STDEV(J$123:J$127)),ISNUMBER(J123)),"Sim","Não"))))</f>
        <v>Sim</v>
      </c>
      <c r="L123" s="77">
        <f>IF(K123="Sim",J123,"")</f>
        <v>18.600000000000001</v>
      </c>
      <c r="M123" s="281">
        <f>IF(I123="","",ROUND(IF(COUNT(I123:I127)=1,I123,IF((COUNT(L123:L127)&lt;3),MIN(L123:L127),AVERAGE(L123:L127))),2))</f>
        <v>17.670000000000002</v>
      </c>
      <c r="N123" s="282">
        <f>IF(M123="","",C123*M123)</f>
        <v>0</v>
      </c>
      <c r="P123" s="37"/>
      <c r="Q123" s="3"/>
      <c r="R123" s="3"/>
    </row>
    <row r="124" spans="1:18">
      <c r="A124" s="278"/>
      <c r="B124" s="278"/>
      <c r="C124" s="279"/>
      <c r="D124" s="83" t="s">
        <v>434</v>
      </c>
      <c r="E124" s="285" t="s">
        <v>268</v>
      </c>
      <c r="F124" s="285"/>
      <c r="G124" s="83" t="s">
        <v>435</v>
      </c>
      <c r="H124" s="82" t="s">
        <v>436</v>
      </c>
      <c r="I124" s="75">
        <v>17.899999999999999</v>
      </c>
      <c r="J124" s="76">
        <f>IF(AND((STDEV(I$123:I$127)/AVERAGE(I$123:I$127))&lt;=0.25,ISNUMBER(I124)),I124,IF(AND(I124&lt;=(AVERAGE(I$123:I$127)+STDEV(I$123:I$127)),I124&gt;=(AVERAGE(I$123:I$127)-STDEV(I$123:I$127)),ISNUMBER(I124)),I124,""))</f>
        <v>17.899999999999999</v>
      </c>
      <c r="K124" s="77" t="str">
        <f t="shared" ref="K124:K127" si="20">IF(I124="","",IF(AND(COUNT(I$123:I$127)=1,ISNUMBER(I124)),"Sim",IF(AND((STDEV(J$123:J$127)/AVERAGE(J$123:J$127))&lt;0.25,ISNUMBER(J124)),"Sim",IF(AND(J124&lt;=(AVERAGE(J$123:J$127)+STDEV(J$123:J$127)),J124&gt;=(AVERAGE(J$123:J$127)-STDEV(J$123:J$127)),ISNUMBER(J124)),"Sim","Não"))))</f>
        <v>Sim</v>
      </c>
      <c r="L124" s="77">
        <f t="shared" ref="L124:L127" si="21">IF(K124="Sim",J124,"")</f>
        <v>17.899999999999999</v>
      </c>
      <c r="M124" s="281"/>
      <c r="N124" s="282"/>
      <c r="P124" s="37"/>
      <c r="Q124" s="3"/>
      <c r="R124" s="3"/>
    </row>
    <row r="125" spans="1:18">
      <c r="A125" s="278"/>
      <c r="B125" s="278"/>
      <c r="C125" s="279"/>
      <c r="D125" s="82" t="s">
        <v>32</v>
      </c>
      <c r="E125" s="286">
        <v>45807</v>
      </c>
      <c r="F125" s="287"/>
      <c r="G125" s="170" t="s">
        <v>437</v>
      </c>
      <c r="H125" s="118" t="s">
        <v>438</v>
      </c>
      <c r="I125" s="103">
        <v>21.42</v>
      </c>
      <c r="J125" s="76">
        <f t="shared" ref="J125:J127" si="22">IF(AND((STDEV(I$123:I$127)/AVERAGE(I$123:I$127))&lt;=0.25,ISNUMBER(I125)),I125,IF(AND(I125&lt;=(AVERAGE(I$123:I$127)+STDEV(I$123:I$127)),I125&gt;=(AVERAGE(I$123:I$127)-STDEV(I$123:I$127)),ISNUMBER(I125)),I125,""))</f>
        <v>21.42</v>
      </c>
      <c r="K125" s="77" t="str">
        <f>IF(I125="","",IF(AND(COUNT(I$123:I$127)=1,ISNUMBER(I125)),"Sim",IF(AND((STDEV(J$123:J$127)/AVERAGE(J$123:J$127))&lt;0.25,ISNUMBER(J125)),"Sim",IF(AND(J125&lt;=(AVERAGE(J$123:J$127)+STDEV(J$123:J$127)),J125&gt;=(AVERAGE(J$123:J$127)-STDEV(J$123:J$127)),ISNUMBER(J125)),"Sim","Não"))))</f>
        <v>Sim</v>
      </c>
      <c r="L125" s="77">
        <f t="shared" si="21"/>
        <v>21.42</v>
      </c>
      <c r="M125" s="281"/>
      <c r="N125" s="282"/>
      <c r="P125" s="37"/>
      <c r="Q125" s="3"/>
      <c r="R125" s="3"/>
    </row>
    <row r="126" spans="1:18">
      <c r="A126" s="278"/>
      <c r="B126" s="278"/>
      <c r="C126" s="279"/>
      <c r="D126" s="82" t="s">
        <v>32</v>
      </c>
      <c r="E126" s="286">
        <v>45807</v>
      </c>
      <c r="F126" s="287"/>
      <c r="G126" s="105" t="s">
        <v>370</v>
      </c>
      <c r="H126" s="82" t="s">
        <v>371</v>
      </c>
      <c r="I126" s="103">
        <v>11</v>
      </c>
      <c r="J126" s="76">
        <f t="shared" si="22"/>
        <v>11</v>
      </c>
      <c r="K126" s="77" t="str">
        <f t="shared" si="20"/>
        <v>Sim</v>
      </c>
      <c r="L126" s="77">
        <f t="shared" si="21"/>
        <v>11</v>
      </c>
      <c r="M126" s="281"/>
      <c r="N126" s="282"/>
      <c r="P126" s="37"/>
      <c r="Q126" s="3"/>
      <c r="R126" s="3"/>
    </row>
    <row r="127" spans="1:18">
      <c r="A127" s="278"/>
      <c r="B127" s="278"/>
      <c r="C127" s="279"/>
      <c r="D127" s="82" t="s">
        <v>32</v>
      </c>
      <c r="E127" s="286">
        <v>45807</v>
      </c>
      <c r="F127" s="287"/>
      <c r="G127" s="105" t="s">
        <v>439</v>
      </c>
      <c r="H127" s="118" t="s">
        <v>440</v>
      </c>
      <c r="I127" s="104">
        <v>19.41</v>
      </c>
      <c r="J127" s="76">
        <f t="shared" si="22"/>
        <v>19.41</v>
      </c>
      <c r="K127" s="77" t="str">
        <f t="shared" si="20"/>
        <v>Sim</v>
      </c>
      <c r="L127" s="77">
        <f t="shared" si="21"/>
        <v>19.41</v>
      </c>
      <c r="M127" s="281"/>
      <c r="N127" s="282"/>
      <c r="P127" s="37"/>
      <c r="Q127" s="3"/>
      <c r="R127" s="3"/>
    </row>
    <row r="128" spans="1:18">
      <c r="G128" s="39"/>
      <c r="P128" s="37"/>
      <c r="Q128" s="3"/>
      <c r="R128" s="3"/>
    </row>
    <row r="129" spans="1:18">
      <c r="G129" s="39"/>
      <c r="P129" s="37"/>
      <c r="Q129" s="3"/>
      <c r="R129" s="3"/>
    </row>
    <row r="130" spans="1:18">
      <c r="A130" s="260" t="s">
        <v>2</v>
      </c>
      <c r="B130" s="261"/>
      <c r="C130" s="261"/>
      <c r="D130" s="261"/>
      <c r="E130" s="262"/>
      <c r="F130" s="260" t="s">
        <v>3</v>
      </c>
      <c r="G130" s="261"/>
      <c r="H130" s="261"/>
      <c r="I130" s="260" t="s">
        <v>4</v>
      </c>
      <c r="J130" s="261"/>
      <c r="K130" s="261"/>
      <c r="L130" s="262"/>
      <c r="M130" s="260" t="s">
        <v>5</v>
      </c>
      <c r="N130" s="262"/>
      <c r="P130" s="37"/>
      <c r="Q130" s="3"/>
      <c r="R130" s="3"/>
    </row>
    <row r="131" spans="1:18">
      <c r="A131" s="263"/>
      <c r="B131" s="264"/>
      <c r="C131" s="264"/>
      <c r="D131" s="264"/>
      <c r="E131" s="265"/>
      <c r="F131" s="288" t="s">
        <v>441</v>
      </c>
      <c r="G131" s="289"/>
      <c r="H131" s="289"/>
      <c r="I131" s="269" t="s">
        <v>7</v>
      </c>
      <c r="J131" s="270"/>
      <c r="K131" s="270"/>
      <c r="L131" s="273"/>
      <c r="M131" s="271" t="s">
        <v>8</v>
      </c>
      <c r="N131" s="274"/>
      <c r="P131" s="37"/>
      <c r="Q131" s="3"/>
      <c r="R131" s="3"/>
    </row>
    <row r="132" spans="1:18">
      <c r="A132" s="266"/>
      <c r="B132" s="267"/>
      <c r="C132" s="267"/>
      <c r="D132" s="267"/>
      <c r="E132" s="268"/>
      <c r="F132" s="290"/>
      <c r="G132" s="291"/>
      <c r="H132" s="291"/>
      <c r="I132" s="271"/>
      <c r="J132" s="272"/>
      <c r="K132" s="272"/>
      <c r="L132" s="274"/>
      <c r="M132" s="275" t="s">
        <v>9</v>
      </c>
      <c r="N132" s="276"/>
      <c r="P132" s="37"/>
      <c r="Q132" s="3"/>
      <c r="R132" s="3"/>
    </row>
    <row r="133" spans="1:18" ht="22.5">
      <c r="A133" s="4" t="s">
        <v>10</v>
      </c>
      <c r="B133" s="4" t="s">
        <v>11</v>
      </c>
      <c r="C133" s="4" t="s">
        <v>12</v>
      </c>
      <c r="D133" s="5" t="s">
        <v>13</v>
      </c>
      <c r="E133" s="277" t="s">
        <v>14</v>
      </c>
      <c r="F133" s="277"/>
      <c r="G133" s="24" t="s">
        <v>15</v>
      </c>
      <c r="H133" s="24" t="s">
        <v>16</v>
      </c>
      <c r="I133" s="25" t="s">
        <v>17</v>
      </c>
      <c r="J133" s="4" t="s">
        <v>18</v>
      </c>
      <c r="K133" s="4"/>
      <c r="L133" s="4" t="s">
        <v>19</v>
      </c>
      <c r="M133" s="4" t="s">
        <v>20</v>
      </c>
      <c r="N133" s="4" t="s">
        <v>21</v>
      </c>
      <c r="P133" s="37"/>
      <c r="Q133" s="3"/>
      <c r="R133" s="3"/>
    </row>
    <row r="134" spans="1:18" ht="15" customHeight="1">
      <c r="A134" s="278"/>
      <c r="B134" s="278">
        <v>33</v>
      </c>
      <c r="C134" s="279"/>
      <c r="D134" s="83" t="s">
        <v>442</v>
      </c>
      <c r="E134" s="373" t="s">
        <v>443</v>
      </c>
      <c r="F134" s="373"/>
      <c r="G134" s="82" t="s">
        <v>444</v>
      </c>
      <c r="H134" s="82" t="s">
        <v>445</v>
      </c>
      <c r="I134" s="75">
        <v>55</v>
      </c>
      <c r="J134" s="76">
        <f>IF(AND((STDEV(I$134:I$138)/AVERAGE(I$134:I$138))&lt;=0.25,ISNUMBER(I134)),I134,IF(AND(I134&lt;=(AVERAGE(I$134:I$138)+STDEV(I$134:I$138)),I134&gt;=(AVERAGE(I$134:I$138)-STDEV(I$134:I$138)),ISNUMBER(I134)),I134,""))</f>
        <v>55</v>
      </c>
      <c r="K134" s="77" t="str">
        <f>IF(I134="","",IF(AND(COUNT(I$134:I$138)=1,ISNUMBER(I134)),"Sim",IF(AND((STDEV(J$134:J$138)/AVERAGE(J$134:J$138))&lt;0.25,ISNUMBER(J134)),"Sim",IF(AND(J134&lt;=(AVERAGE(J$134:J$138)+STDEV(J$134:J$138)),J134&gt;=(AVERAGE(J$134:J$138)-STDEV(J$134:J$138)),ISNUMBER(J134)),"Sim","Não"))))</f>
        <v>Sim</v>
      </c>
      <c r="L134" s="77">
        <f>IF(K134="Sim",J134,"")</f>
        <v>55</v>
      </c>
      <c r="M134" s="281">
        <f>IF(I134="","",ROUND(IF(COUNT(I134:I138)=1,I134,IF((COUNT(L134:L138)&lt;3),MIN(L134:L138),AVERAGE(L134:L138))),2))</f>
        <v>51.23</v>
      </c>
      <c r="N134" s="282">
        <f>IF(M134="","",C134*M134)</f>
        <v>0</v>
      </c>
      <c r="P134" s="37"/>
      <c r="Q134" s="3"/>
      <c r="R134" s="3"/>
    </row>
    <row r="135" spans="1:18" ht="15" customHeight="1">
      <c r="A135" s="278"/>
      <c r="B135" s="278"/>
      <c r="C135" s="279"/>
      <c r="D135" s="83" t="s">
        <v>446</v>
      </c>
      <c r="E135" s="373" t="s">
        <v>447</v>
      </c>
      <c r="F135" s="373"/>
      <c r="G135" s="83" t="s">
        <v>448</v>
      </c>
      <c r="H135" s="122" t="s">
        <v>449</v>
      </c>
      <c r="I135" s="75">
        <v>54</v>
      </c>
      <c r="J135" s="76">
        <f>IF(AND((STDEV(I$134:I$138)/AVERAGE(I$134:I$138))&lt;=0.25,ISNUMBER(I135)),I135,IF(AND(I135&lt;=(AVERAGE(I$134:I$138)+STDEV(I$134:I$138)),I135&gt;=(AVERAGE(I$134:I$138)-STDEV(I$134:I$138)),ISNUMBER(I135)),I135,""))</f>
        <v>54</v>
      </c>
      <c r="K135" s="77" t="str">
        <f>IF(I135="","",IF(AND(COUNT(I$134:I$138)=1,ISNUMBER(I135)),"Sim",IF(AND((STDEV(J$134:J$138)/AVERAGE(J$134:J$138))&lt;0.25,ISNUMBER(J135)),"Sim",IF(AND(J135&lt;=(AVERAGE(J$134:J$138)+STDEV(J$134:J$138)),J135&gt;=(AVERAGE(J$134:J$138)-STDEV(J$134:J$138)),ISNUMBER(J135)),"Sim","Não"))))</f>
        <v>Sim</v>
      </c>
      <c r="L135" s="77">
        <f t="shared" ref="L135:L138" si="23">IF(K135="Sim",J135,"")</f>
        <v>54</v>
      </c>
      <c r="M135" s="281"/>
      <c r="N135" s="282"/>
      <c r="P135" s="37"/>
      <c r="Q135" s="3"/>
      <c r="R135" s="3"/>
    </row>
    <row r="136" spans="1:18">
      <c r="A136" s="278"/>
      <c r="B136" s="278"/>
      <c r="C136" s="279"/>
      <c r="D136" s="82" t="s">
        <v>32</v>
      </c>
      <c r="E136" s="286">
        <v>45807</v>
      </c>
      <c r="F136" s="287"/>
      <c r="G136" s="105" t="s">
        <v>450</v>
      </c>
      <c r="H136" s="122" t="s">
        <v>451</v>
      </c>
      <c r="I136" s="103">
        <v>57.84</v>
      </c>
      <c r="J136" s="76">
        <f t="shared" ref="J136:J138" si="24">IF(AND((STDEV(I$134:I$138)/AVERAGE(I$134:I$138))&lt;=0.25,ISNUMBER(I136)),I136,IF(AND(I136&lt;=(AVERAGE(I$134:I$138)+STDEV(I$134:I$138)),I136&gt;=(AVERAGE(I$134:I$138)-STDEV(I$134:I$138)),ISNUMBER(I136)),I136,""))</f>
        <v>57.84</v>
      </c>
      <c r="K136" s="77" t="str">
        <f t="shared" ref="K136:K138" si="25">IF(I136="","",IF(AND(COUNT(I$134:I$138)=1,ISNUMBER(I136)),"Sim",IF(AND((STDEV(J$134:J$138)/AVERAGE(J$134:J$138))&lt;0.25,ISNUMBER(J136)),"Sim",IF(AND(J136&lt;=(AVERAGE(J$134:J$138)+STDEV(J$134:J$138)),J136&gt;=(AVERAGE(J$134:J$138)-STDEV(J$134:J$138)),ISNUMBER(J136)),"Sim","Não"))))</f>
        <v>Sim</v>
      </c>
      <c r="L136" s="77">
        <f t="shared" si="23"/>
        <v>57.84</v>
      </c>
      <c r="M136" s="281"/>
      <c r="N136" s="282"/>
      <c r="P136" s="37"/>
      <c r="Q136" s="3"/>
      <c r="R136" s="3"/>
    </row>
    <row r="137" spans="1:18">
      <c r="A137" s="278"/>
      <c r="B137" s="278"/>
      <c r="C137" s="279"/>
      <c r="D137" s="82" t="s">
        <v>32</v>
      </c>
      <c r="E137" s="286">
        <v>45807</v>
      </c>
      <c r="F137" s="287"/>
      <c r="G137" s="111" t="s">
        <v>452</v>
      </c>
      <c r="H137" s="166" t="s">
        <v>453</v>
      </c>
      <c r="I137" s="103">
        <v>42.99</v>
      </c>
      <c r="J137" s="76">
        <f t="shared" si="24"/>
        <v>42.99</v>
      </c>
      <c r="K137" s="77" t="str">
        <f t="shared" si="25"/>
        <v>Sim</v>
      </c>
      <c r="L137" s="77">
        <f t="shared" si="23"/>
        <v>42.99</v>
      </c>
      <c r="M137" s="281"/>
      <c r="N137" s="282"/>
      <c r="P137" s="37"/>
      <c r="Q137" s="3"/>
      <c r="R137" s="3"/>
    </row>
    <row r="138" spans="1:18">
      <c r="A138" s="278"/>
      <c r="B138" s="278"/>
      <c r="C138" s="279"/>
      <c r="D138" s="82" t="s">
        <v>32</v>
      </c>
      <c r="E138" s="286">
        <v>45807</v>
      </c>
      <c r="F138" s="287"/>
      <c r="G138" s="105" t="s">
        <v>454</v>
      </c>
      <c r="H138" s="118" t="s">
        <v>455</v>
      </c>
      <c r="I138" s="104">
        <v>46.33</v>
      </c>
      <c r="J138" s="76">
        <f t="shared" si="24"/>
        <v>46.33</v>
      </c>
      <c r="K138" s="77" t="str">
        <f t="shared" si="25"/>
        <v>Sim</v>
      </c>
      <c r="L138" s="77">
        <f t="shared" si="23"/>
        <v>46.33</v>
      </c>
      <c r="M138" s="281"/>
      <c r="N138" s="282"/>
      <c r="P138" s="37"/>
      <c r="Q138" s="3"/>
      <c r="R138" s="3"/>
    </row>
  </sheetData>
  <mergeCells count="265">
    <mergeCell ref="A1:E1"/>
    <mergeCell ref="F1:H1"/>
    <mergeCell ref="I1:N1"/>
    <mergeCell ref="A87:E87"/>
    <mergeCell ref="F87:H87"/>
    <mergeCell ref="I87:L87"/>
    <mergeCell ref="M87:N87"/>
    <mergeCell ref="E96:F96"/>
    <mergeCell ref="A98:E98"/>
    <mergeCell ref="F98:H98"/>
    <mergeCell ref="I98:L98"/>
    <mergeCell ref="M98:N98"/>
    <mergeCell ref="A91:A96"/>
    <mergeCell ref="B91:B96"/>
    <mergeCell ref="C91:C96"/>
    <mergeCell ref="M91:M96"/>
    <mergeCell ref="N91:N96"/>
    <mergeCell ref="E95:F95"/>
    <mergeCell ref="A4:E4"/>
    <mergeCell ref="F4:H4"/>
    <mergeCell ref="I4:L4"/>
    <mergeCell ref="M4:N4"/>
    <mergeCell ref="A5:E6"/>
    <mergeCell ref="F5:H6"/>
    <mergeCell ref="M102:M106"/>
    <mergeCell ref="N102:N106"/>
    <mergeCell ref="E105:F105"/>
    <mergeCell ref="E106:F106"/>
    <mergeCell ref="A99:E100"/>
    <mergeCell ref="F99:H100"/>
    <mergeCell ref="I99:L100"/>
    <mergeCell ref="M99:N99"/>
    <mergeCell ref="M100:N100"/>
    <mergeCell ref="E101:F101"/>
    <mergeCell ref="E112:F112"/>
    <mergeCell ref="A113:A117"/>
    <mergeCell ref="B113:B117"/>
    <mergeCell ref="C113:C117"/>
    <mergeCell ref="E113:F113"/>
    <mergeCell ref="M113:M117"/>
    <mergeCell ref="A109:E109"/>
    <mergeCell ref="F109:H109"/>
    <mergeCell ref="I109:L109"/>
    <mergeCell ref="M109:N109"/>
    <mergeCell ref="A110:E111"/>
    <mergeCell ref="F110:H111"/>
    <mergeCell ref="I110:L111"/>
    <mergeCell ref="M110:N110"/>
    <mergeCell ref="M111:N111"/>
    <mergeCell ref="E127:F127"/>
    <mergeCell ref="A120:E121"/>
    <mergeCell ref="F120:H121"/>
    <mergeCell ref="I120:L121"/>
    <mergeCell ref="M120:N120"/>
    <mergeCell ref="M121:N121"/>
    <mergeCell ref="E122:F122"/>
    <mergeCell ref="N113:N117"/>
    <mergeCell ref="E114:F114"/>
    <mergeCell ref="E115:F115"/>
    <mergeCell ref="E116:F116"/>
    <mergeCell ref="E117:F117"/>
    <mergeCell ref="A119:E119"/>
    <mergeCell ref="F119:H119"/>
    <mergeCell ref="I119:L119"/>
    <mergeCell ref="M119:N119"/>
    <mergeCell ref="I5:L6"/>
    <mergeCell ref="M5:N5"/>
    <mergeCell ref="M6:N6"/>
    <mergeCell ref="N8:N13"/>
    <mergeCell ref="E9:F9"/>
    <mergeCell ref="E10:F10"/>
    <mergeCell ref="E11:F11"/>
    <mergeCell ref="E12:F12"/>
    <mergeCell ref="E13:F13"/>
    <mergeCell ref="E7:F7"/>
    <mergeCell ref="A8:A13"/>
    <mergeCell ref="B8:B13"/>
    <mergeCell ref="C8:C13"/>
    <mergeCell ref="E8:F8"/>
    <mergeCell ref="M8:M13"/>
    <mergeCell ref="E18:F18"/>
    <mergeCell ref="B19:B23"/>
    <mergeCell ref="C19:C23"/>
    <mergeCell ref="E19:F19"/>
    <mergeCell ref="M19:M23"/>
    <mergeCell ref="A15:E15"/>
    <mergeCell ref="F15:H15"/>
    <mergeCell ref="I15:L15"/>
    <mergeCell ref="M15:N15"/>
    <mergeCell ref="A16:E17"/>
    <mergeCell ref="F16:H17"/>
    <mergeCell ref="I16:L17"/>
    <mergeCell ref="M16:N16"/>
    <mergeCell ref="M17:N17"/>
    <mergeCell ref="I25:L25"/>
    <mergeCell ref="M25:N25"/>
    <mergeCell ref="A26:E27"/>
    <mergeCell ref="F26:H27"/>
    <mergeCell ref="I26:L27"/>
    <mergeCell ref="M26:N26"/>
    <mergeCell ref="M27:N27"/>
    <mergeCell ref="A21:A23"/>
    <mergeCell ref="E21:F21"/>
    <mergeCell ref="E22:F22"/>
    <mergeCell ref="E23:F23"/>
    <mergeCell ref="A25:E25"/>
    <mergeCell ref="F25:H25"/>
    <mergeCell ref="N19:N23"/>
    <mergeCell ref="E20:F20"/>
    <mergeCell ref="N29:N35"/>
    <mergeCell ref="E30:F30"/>
    <mergeCell ref="E31:F31"/>
    <mergeCell ref="E32:F32"/>
    <mergeCell ref="E33:F33"/>
    <mergeCell ref="E34:F34"/>
    <mergeCell ref="E35:F35"/>
    <mergeCell ref="E28:F28"/>
    <mergeCell ref="A29:A35"/>
    <mergeCell ref="B29:B35"/>
    <mergeCell ref="C29:C35"/>
    <mergeCell ref="E29:F29"/>
    <mergeCell ref="M29:M35"/>
    <mergeCell ref="E40:F40"/>
    <mergeCell ref="A41:A44"/>
    <mergeCell ref="B41:B44"/>
    <mergeCell ref="C41:C44"/>
    <mergeCell ref="E41:F41"/>
    <mergeCell ref="M41:M44"/>
    <mergeCell ref="A37:E37"/>
    <mergeCell ref="F37:H37"/>
    <mergeCell ref="I37:L37"/>
    <mergeCell ref="M37:N37"/>
    <mergeCell ref="A38:E39"/>
    <mergeCell ref="F38:H39"/>
    <mergeCell ref="I38:L39"/>
    <mergeCell ref="M38:N38"/>
    <mergeCell ref="M39:N39"/>
    <mergeCell ref="A47:E48"/>
    <mergeCell ref="F47:H48"/>
    <mergeCell ref="I47:L48"/>
    <mergeCell ref="M47:N47"/>
    <mergeCell ref="M48:N48"/>
    <mergeCell ref="E49:F49"/>
    <mergeCell ref="N41:N44"/>
    <mergeCell ref="E42:F42"/>
    <mergeCell ref="E43:F43"/>
    <mergeCell ref="E44:F44"/>
    <mergeCell ref="A46:E46"/>
    <mergeCell ref="F46:H46"/>
    <mergeCell ref="I46:L46"/>
    <mergeCell ref="M46:N46"/>
    <mergeCell ref="A50:A54"/>
    <mergeCell ref="B50:B54"/>
    <mergeCell ref="C50:C54"/>
    <mergeCell ref="E50:F50"/>
    <mergeCell ref="M50:M54"/>
    <mergeCell ref="N50:N54"/>
    <mergeCell ref="E51:F51"/>
    <mergeCell ref="E52:F52"/>
    <mergeCell ref="E53:F53"/>
    <mergeCell ref="E54:F54"/>
    <mergeCell ref="E60:F60"/>
    <mergeCell ref="A61:A64"/>
    <mergeCell ref="B61:B64"/>
    <mergeCell ref="C61:C64"/>
    <mergeCell ref="E61:F61"/>
    <mergeCell ref="M61:M64"/>
    <mergeCell ref="A57:E57"/>
    <mergeCell ref="F57:H57"/>
    <mergeCell ref="I57:L57"/>
    <mergeCell ref="M57:N57"/>
    <mergeCell ref="A58:E59"/>
    <mergeCell ref="F58:H59"/>
    <mergeCell ref="I58:L59"/>
    <mergeCell ref="M58:N58"/>
    <mergeCell ref="M59:N59"/>
    <mergeCell ref="A67:E68"/>
    <mergeCell ref="F67:H68"/>
    <mergeCell ref="I67:L68"/>
    <mergeCell ref="M67:N67"/>
    <mergeCell ref="M68:N68"/>
    <mergeCell ref="E69:F69"/>
    <mergeCell ref="N61:N64"/>
    <mergeCell ref="E62:F62"/>
    <mergeCell ref="E63:F63"/>
    <mergeCell ref="E64:F64"/>
    <mergeCell ref="A66:E66"/>
    <mergeCell ref="F66:H66"/>
    <mergeCell ref="I66:L66"/>
    <mergeCell ref="M66:N66"/>
    <mergeCell ref="A70:A74"/>
    <mergeCell ref="B70:B74"/>
    <mergeCell ref="C70:C74"/>
    <mergeCell ref="E70:F70"/>
    <mergeCell ref="M70:M74"/>
    <mergeCell ref="N70:N74"/>
    <mergeCell ref="E71:F71"/>
    <mergeCell ref="E72:F72"/>
    <mergeCell ref="E73:F73"/>
    <mergeCell ref="E74:F74"/>
    <mergeCell ref="E79:F79"/>
    <mergeCell ref="A80:A84"/>
    <mergeCell ref="B80:B84"/>
    <mergeCell ref="C80:C84"/>
    <mergeCell ref="E80:F80"/>
    <mergeCell ref="M80:M84"/>
    <mergeCell ref="A76:E76"/>
    <mergeCell ref="F76:H76"/>
    <mergeCell ref="I76:L76"/>
    <mergeCell ref="M76:N76"/>
    <mergeCell ref="A77:E78"/>
    <mergeCell ref="F77:H78"/>
    <mergeCell ref="I77:L78"/>
    <mergeCell ref="M77:N77"/>
    <mergeCell ref="M78:N78"/>
    <mergeCell ref="E91:F91"/>
    <mergeCell ref="E92:F92"/>
    <mergeCell ref="E93:F93"/>
    <mergeCell ref="E94:F94"/>
    <mergeCell ref="N80:N84"/>
    <mergeCell ref="E81:F81"/>
    <mergeCell ref="E82:F82"/>
    <mergeCell ref="E83:F83"/>
    <mergeCell ref="E84:F84"/>
    <mergeCell ref="A88:E89"/>
    <mergeCell ref="F88:H89"/>
    <mergeCell ref="I88:L89"/>
    <mergeCell ref="M88:N88"/>
    <mergeCell ref="M89:N89"/>
    <mergeCell ref="E90:F90"/>
    <mergeCell ref="F130:H130"/>
    <mergeCell ref="I130:L130"/>
    <mergeCell ref="M130:N130"/>
    <mergeCell ref="A131:E132"/>
    <mergeCell ref="F131:H132"/>
    <mergeCell ref="I131:L132"/>
    <mergeCell ref="M131:N131"/>
    <mergeCell ref="M132:N132"/>
    <mergeCell ref="A102:A106"/>
    <mergeCell ref="B102:B106"/>
    <mergeCell ref="C102:C106"/>
    <mergeCell ref="A130:E130"/>
    <mergeCell ref="E102:F102"/>
    <mergeCell ref="E103:F103"/>
    <mergeCell ref="E104:F104"/>
    <mergeCell ref="A123:A127"/>
    <mergeCell ref="B123:B127"/>
    <mergeCell ref="C123:C127"/>
    <mergeCell ref="E123:F123"/>
    <mergeCell ref="M123:M127"/>
    <mergeCell ref="N123:N127"/>
    <mergeCell ref="E124:F124"/>
    <mergeCell ref="E125:F125"/>
    <mergeCell ref="E126:F126"/>
    <mergeCell ref="N134:N138"/>
    <mergeCell ref="E135:F135"/>
    <mergeCell ref="E136:F136"/>
    <mergeCell ref="E137:F137"/>
    <mergeCell ref="E138:F138"/>
    <mergeCell ref="E133:F133"/>
    <mergeCell ref="A134:A138"/>
    <mergeCell ref="B134:B138"/>
    <mergeCell ref="C134:C138"/>
    <mergeCell ref="E134:F134"/>
    <mergeCell ref="M134:M138"/>
  </mergeCells>
  <hyperlinks>
    <hyperlink ref="G10" r:id="rId1" xr:uid="{067A6335-25EE-4931-B3A3-231590A95694}"/>
    <hyperlink ref="G32" r:id="rId2" xr:uid="{53CA4D52-F039-4A62-9E82-B38A781F340B}"/>
    <hyperlink ref="G34" r:id="rId3" xr:uid="{FD3DEFE6-398C-47E6-BEE4-BE8B8BBA5AF7}"/>
    <hyperlink ref="G42" r:id="rId4" xr:uid="{A6B053FF-39C2-413E-9A93-E90A9FA92437}"/>
    <hyperlink ref="G43" r:id="rId5" xr:uid="{D9BB4FFA-64D6-43FD-B0C9-0253E1B49163}"/>
    <hyperlink ref="G52" r:id="rId6" xr:uid="{EA60CE10-CCBB-42DB-B265-3B2EC49EE923}"/>
    <hyperlink ref="G64" r:id="rId7" xr:uid="{73F54244-F3A4-4BB5-90EF-79557FC3E175}"/>
    <hyperlink ref="G63" r:id="rId8" xr:uid="{A4E9BFAE-A8D9-4B72-970F-A1464D51B3E9}"/>
    <hyperlink ref="G72" r:id="rId9" xr:uid="{EFFD214E-8615-4CC9-8863-06E49E4C03E1}"/>
    <hyperlink ref="G74" r:id="rId10" xr:uid="{356F3DBC-D7D0-41E7-8844-F63909F9C0D3}"/>
    <hyperlink ref="G83" r:id="rId11" xr:uid="{C554266F-38B1-4F23-89FB-632C55D3F21F}"/>
    <hyperlink ref="G84" r:id="rId12" xr:uid="{3B4EDF73-0F0E-4A7B-B0E3-D7A3B90A18BE}"/>
    <hyperlink ref="G54" r:id="rId13" xr:uid="{EF1E27CF-78D7-4029-A0D1-9434CEFCF5E1}"/>
    <hyperlink ref="G93" r:id="rId14" xr:uid="{88C299C3-3FD0-4407-97ED-55194C8B503E}"/>
    <hyperlink ref="G94" r:id="rId15" xr:uid="{221E6EC9-1DE4-47DB-8EAF-976C900221CE}"/>
    <hyperlink ref="G95" r:id="rId16" xr:uid="{902143B4-F5CD-4E9C-A1B0-F0055E8193A4}"/>
    <hyperlink ref="G115" r:id="rId17" xr:uid="{3E78CD13-3C5F-4ACD-A308-B49802F5CCD8}"/>
    <hyperlink ref="G116" r:id="rId18" xr:uid="{F493D385-E48F-4F35-BFE5-51CB3A83E42E}"/>
    <hyperlink ref="G117" r:id="rId19" location="derivacao=41/96" xr:uid="{92F5A754-9218-499E-AF85-AB72C4B0BA71}"/>
    <hyperlink ref="G125" r:id="rId20" xr:uid="{BB3B69EC-AB2D-4A84-9DD8-E0085FE41416}"/>
    <hyperlink ref="G126" r:id="rId21" xr:uid="{F309F96F-D9F8-4A89-AC3B-C4C8D6E8351E}"/>
    <hyperlink ref="G127" r:id="rId22" xr:uid="{5EBC5811-70B4-44FC-8121-AE1492AE9B24}"/>
    <hyperlink ref="G136" r:id="rId23" xr:uid="{88604A9F-15B8-4579-A1A6-08A82092EF5E}"/>
    <hyperlink ref="G137" r:id="rId24" xr:uid="{915CA33A-1166-4CD8-A65B-3A35BC3A2F80}"/>
    <hyperlink ref="G12" r:id="rId25" xr:uid="{0EC65146-5026-4D10-B963-338D32479C59}"/>
    <hyperlink ref="G11" r:id="rId26" xr:uid="{168BA81F-8F29-4EAB-B36A-78A982C47BBD}"/>
    <hyperlink ref="G13" r:id="rId27" xr:uid="{065B5180-C1F8-41C2-A2B3-F92BEDF9EF16}"/>
    <hyperlink ref="G23" r:id="rId28" xr:uid="{818ADC92-7EDF-41EE-BB38-A7A52BF064F9}"/>
    <hyperlink ref="G22" r:id="rId29" xr:uid="{2C7183EC-DEAF-4FD5-B3F5-DE55B0FC4246}"/>
    <hyperlink ref="G21" r:id="rId30" location="polycard_client=search-nordic-mshops&amp;position=5&amp;search_layout=grid&amp;type=item&amp;tracking_id=564bbca2-8681-4d84-9709-c244ac45d583&amp;wid=MLB696631475&amp;sid=search" xr:uid="{6EF130DF-8EC1-4CEC-A1C6-7BA16B9C8DCC}"/>
    <hyperlink ref="G33" r:id="rId31" xr:uid="{B72FA5BF-6A39-4319-99CE-2FC3A436D9B1}"/>
    <hyperlink ref="G35" r:id="rId32" xr:uid="{275048B3-4B9E-426D-B604-39E1D668C3FC}"/>
    <hyperlink ref="G44" r:id="rId33" xr:uid="{43D6BC1A-8DA4-4801-9063-56E058AF280E}"/>
    <hyperlink ref="G41" r:id="rId34" xr:uid="{FD3C1090-2098-4993-AC24-E3157259EBB0}"/>
    <hyperlink ref="G53" r:id="rId35" xr:uid="{320AB23A-0F27-4EF8-B3C3-8B27ED08CC55}"/>
    <hyperlink ref="G73" r:id="rId36" xr:uid="{B9441E2C-6CAC-44D3-88E0-0072C3784F75}"/>
    <hyperlink ref="G138" r:id="rId37" xr:uid="{3214725B-8BE2-4BDD-B9AA-265EA073EF73}"/>
    <hyperlink ref="G96" r:id="rId38" xr:uid="{0B2DF55C-760D-43E2-9C32-44492FCBDE8D}"/>
    <hyperlink ref="G102" r:id="rId39" xr:uid="{035FA828-2C7D-45BE-8403-AF01F092E96E}"/>
    <hyperlink ref="G103" r:id="rId40" xr:uid="{F371AD0C-2D98-4752-B320-CD4D04D91694}"/>
    <hyperlink ref="G104" r:id="rId41" xr:uid="{CC98C482-7DEA-4EBA-8C6C-06E56DE1181A}"/>
    <hyperlink ref="G105" r:id="rId42" xr:uid="{4F87C32B-A11F-4C3A-993D-B24B171922B4}"/>
  </hyperlinks>
  <pageMargins left="0.511811024" right="0.511811024" top="0.78740157499999996" bottom="0.78740157499999996" header="0.31496062000000002" footer="0.31496062000000002"/>
  <drawing r:id="rId4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988FE-09B0-490E-8445-6B3A6BB14050}">
  <dimension ref="A1:R20"/>
  <sheetViews>
    <sheetView workbookViewId="0">
      <selection activeCell="A14" sqref="A14"/>
    </sheetView>
  </sheetViews>
  <sheetFormatPr defaultColWidth="9.140625" defaultRowHeight="15"/>
  <cols>
    <col min="1" max="1" width="5.5703125" style="9" bestFit="1" customWidth="1"/>
    <col min="2" max="2" width="5.42578125" style="9" bestFit="1" customWidth="1"/>
    <col min="3" max="3" width="4.5703125" style="23" customWidth="1"/>
    <col min="4" max="4" width="12.28515625" style="29" customWidth="1"/>
    <col min="5" max="5" width="4.85546875" style="29" customWidth="1"/>
    <col min="6" max="6" width="8.5703125" style="29" customWidth="1"/>
    <col min="7" max="7" width="62.5703125" style="9" customWidth="1"/>
    <col min="8" max="8" width="66.140625" style="23" customWidth="1"/>
    <col min="9" max="9" width="7.85546875" style="17" customWidth="1"/>
    <col min="10" max="10" width="8" style="17" customWidth="1"/>
    <col min="11" max="11" width="4.85546875" style="17" bestFit="1" customWidth="1"/>
    <col min="12" max="12" width="7.42578125" style="17" bestFit="1" customWidth="1"/>
    <col min="13" max="13" width="13.28515625" style="17" customWidth="1"/>
    <col min="14" max="14" width="8.42578125" style="17" customWidth="1"/>
    <col min="15" max="15" width="2.5703125" style="23" customWidth="1"/>
    <col min="16" max="16" width="13.7109375" style="9" customWidth="1"/>
    <col min="17" max="17" width="1.7109375" customWidth="1"/>
  </cols>
  <sheetData>
    <row r="1" spans="1:18" ht="33" customHeight="1">
      <c r="A1" s="302"/>
      <c r="B1" s="302"/>
      <c r="C1" s="302"/>
      <c r="D1" s="302"/>
      <c r="E1" s="303"/>
      <c r="F1" s="304" t="s">
        <v>0</v>
      </c>
      <c r="G1" s="305"/>
      <c r="H1" s="305"/>
      <c r="I1" s="306" t="s">
        <v>1</v>
      </c>
      <c r="J1" s="307"/>
      <c r="K1" s="307"/>
      <c r="L1" s="307"/>
      <c r="M1" s="307"/>
      <c r="N1" s="308"/>
      <c r="P1" s="35"/>
    </row>
    <row r="2" spans="1:18">
      <c r="C2" s="10"/>
      <c r="D2" s="11"/>
      <c r="E2" s="11"/>
      <c r="F2" s="11"/>
      <c r="G2" s="22"/>
      <c r="H2" s="20"/>
      <c r="I2" s="21"/>
      <c r="J2" s="14"/>
      <c r="K2" s="15"/>
      <c r="L2" s="15"/>
      <c r="M2" s="16"/>
      <c r="N2" s="16"/>
      <c r="P2" s="37"/>
      <c r="Q2" s="3"/>
      <c r="R2" s="3"/>
    </row>
    <row r="3" spans="1:18">
      <c r="P3" s="37"/>
      <c r="Q3" s="3"/>
      <c r="R3" s="3"/>
    </row>
    <row r="4" spans="1:18">
      <c r="P4" s="37"/>
      <c r="Q4" s="3"/>
      <c r="R4" s="3"/>
    </row>
    <row r="5" spans="1:18">
      <c r="A5" s="260" t="s">
        <v>2</v>
      </c>
      <c r="B5" s="261"/>
      <c r="C5" s="261"/>
      <c r="D5" s="261"/>
      <c r="E5" s="262"/>
      <c r="F5" s="260" t="s">
        <v>3</v>
      </c>
      <c r="G5" s="261"/>
      <c r="H5" s="261"/>
      <c r="I5" s="260" t="s">
        <v>4</v>
      </c>
      <c r="J5" s="261"/>
      <c r="K5" s="261"/>
      <c r="L5" s="262"/>
      <c r="M5" s="260" t="s">
        <v>5</v>
      </c>
      <c r="N5" s="262"/>
      <c r="P5" s="37"/>
      <c r="Q5" s="3"/>
      <c r="R5" s="3"/>
    </row>
    <row r="6" spans="1:18">
      <c r="A6" s="263"/>
      <c r="B6" s="264"/>
      <c r="C6" s="264"/>
      <c r="D6" s="264"/>
      <c r="E6" s="265"/>
      <c r="F6" s="288" t="s">
        <v>456</v>
      </c>
      <c r="G6" s="289"/>
      <c r="H6" s="289"/>
      <c r="I6" s="269" t="s">
        <v>7</v>
      </c>
      <c r="J6" s="270"/>
      <c r="K6" s="270"/>
      <c r="L6" s="273"/>
      <c r="M6" s="335" t="s">
        <v>8</v>
      </c>
      <c r="N6" s="337"/>
      <c r="P6" s="37"/>
      <c r="Q6" s="3"/>
      <c r="R6" s="3"/>
    </row>
    <row r="7" spans="1:18">
      <c r="A7" s="266"/>
      <c r="B7" s="267"/>
      <c r="C7" s="267"/>
      <c r="D7" s="267"/>
      <c r="E7" s="268"/>
      <c r="F7" s="290"/>
      <c r="G7" s="291"/>
      <c r="H7" s="291"/>
      <c r="I7" s="271"/>
      <c r="J7" s="272"/>
      <c r="K7" s="272"/>
      <c r="L7" s="274"/>
      <c r="M7" s="275" t="s">
        <v>9</v>
      </c>
      <c r="N7" s="276"/>
      <c r="P7" s="37"/>
      <c r="Q7" s="3"/>
      <c r="R7" s="3"/>
    </row>
    <row r="8" spans="1:18" ht="22.5">
      <c r="A8" s="4" t="s">
        <v>10</v>
      </c>
      <c r="B8" s="4" t="s">
        <v>11</v>
      </c>
      <c r="C8" s="4" t="s">
        <v>12</v>
      </c>
      <c r="D8" s="5" t="s">
        <v>13</v>
      </c>
      <c r="E8" s="407" t="s">
        <v>14</v>
      </c>
      <c r="F8" s="407"/>
      <c r="G8" s="24" t="s">
        <v>15</v>
      </c>
      <c r="H8" s="24" t="s">
        <v>16</v>
      </c>
      <c r="I8" s="25" t="s">
        <v>17</v>
      </c>
      <c r="J8" s="4" t="s">
        <v>18</v>
      </c>
      <c r="K8" s="4"/>
      <c r="L8" s="4" t="s">
        <v>19</v>
      </c>
      <c r="M8" s="4" t="s">
        <v>20</v>
      </c>
      <c r="N8" s="4" t="s">
        <v>21</v>
      </c>
      <c r="P8" s="37"/>
      <c r="Q8" s="3"/>
      <c r="R8" s="3"/>
    </row>
    <row r="9" spans="1:18" ht="18.75" customHeight="1">
      <c r="A9" s="284"/>
      <c r="B9" s="284">
        <v>33</v>
      </c>
      <c r="C9" s="279"/>
      <c r="D9" s="172" t="s">
        <v>457</v>
      </c>
      <c r="E9" s="401" t="s">
        <v>458</v>
      </c>
      <c r="F9" s="401"/>
      <c r="G9" s="173" t="s">
        <v>459</v>
      </c>
      <c r="H9" s="174" t="s">
        <v>460</v>
      </c>
      <c r="I9" s="175">
        <v>10.08</v>
      </c>
      <c r="J9" s="76">
        <f>IF(AND((STDEV(I$9:I$13)/AVERAGE(I$9:I$13))&lt;=0.25,ISNUMBER(I9)),I9,IF(AND(I9&lt;=(AVERAGE(I$9:I$13)+STDEV(I$9:I$13)),I9&gt;=(AVERAGE(I$9:I$13)-STDEV(I$9:I$13)),ISNUMBER(I9)),I9,""))</f>
        <v>10.08</v>
      </c>
      <c r="K9" s="77" t="str">
        <f>IF(I9="","",IF(AND(COUNT(I$9:I$13)=1,ISNUMBER(I9)),"Sim",IF(AND((STDEV(J$9:J$13)/AVERAGE(J$9:J$13))&lt;0.25,ISNUMBER(J9)),"Sim",IF(AND(J9&lt;=(AVERAGE(J$9:J$13)+STDEV(J$9:J$13)),J9&gt;=(AVERAGE(J$9:J$13)-STDEV(J$9:J$13)),ISNUMBER(J9)),"Sim","Não"))))</f>
        <v>Sim</v>
      </c>
      <c r="L9" s="77">
        <f>IF(K9="Sim",J9,"")</f>
        <v>10.08</v>
      </c>
      <c r="M9" s="404">
        <f>IF(I9="","",ROUND(IF(COUNT(I9:I13)=1,I9,IF((COUNT(L9:L13)&lt;3),MIN(L9:L13),AVERAGE(L9:L13))),2))</f>
        <v>11.91</v>
      </c>
      <c r="N9" s="282">
        <f>IF(M9="","",C9*M9)</f>
        <v>0</v>
      </c>
      <c r="P9" s="37"/>
      <c r="Q9" s="3"/>
      <c r="R9" s="3"/>
    </row>
    <row r="10" spans="1:18">
      <c r="A10" s="284"/>
      <c r="B10" s="284"/>
      <c r="C10" s="279"/>
      <c r="D10" s="176" t="s">
        <v>251</v>
      </c>
      <c r="E10" s="401" t="s">
        <v>461</v>
      </c>
      <c r="F10" s="401"/>
      <c r="G10" s="174" t="s">
        <v>462</v>
      </c>
      <c r="H10" s="174" t="s">
        <v>463</v>
      </c>
      <c r="I10" s="177">
        <v>10.08</v>
      </c>
      <c r="J10" s="76">
        <f>IF(AND((STDEV(I$9:I$13)/AVERAGE(I$9:I$13))&lt;=0.25,ISNUMBER(I10)),I10,IF(AND(I10&lt;=(AVERAGE(I$9:I$13)+STDEV(I$9:I$13)),I10&gt;=(AVERAGE(I$9:I$13)-STDEV(I$9:I$13)),ISNUMBER(I10)),I10,""))</f>
        <v>10.08</v>
      </c>
      <c r="K10" s="77" t="str">
        <f>IF(I10="","",IF(AND(COUNT(I$9:I$13)=1,ISNUMBER(I10)),"Sim",IF(AND((STDEV(J$9:J$13)/AVERAGE(J$9:J$13))&lt;0.25,ISNUMBER(J10)),"Sim",IF(AND(J10&lt;=(AVERAGE(J$9:J$13)+STDEV(J$9:J$13)),J10&gt;=(AVERAGE(J$9:J$13)-STDEV(J$9:J$13)),ISNUMBER(J10)),"Sim","Não"))))</f>
        <v>Sim</v>
      </c>
      <c r="L10" s="77">
        <f t="shared" ref="L10:L13" si="0">IF(K10="Sim",J10,"")</f>
        <v>10.08</v>
      </c>
      <c r="M10" s="405"/>
      <c r="N10" s="282"/>
      <c r="P10" s="37"/>
      <c r="Q10" s="3"/>
      <c r="R10" s="3"/>
    </row>
    <row r="11" spans="1:18">
      <c r="A11" s="284"/>
      <c r="B11" s="284"/>
      <c r="C11" s="279"/>
      <c r="D11" s="176" t="s">
        <v>271</v>
      </c>
      <c r="E11" s="402" t="s">
        <v>464</v>
      </c>
      <c r="F11" s="403"/>
      <c r="G11" s="174" t="s">
        <v>465</v>
      </c>
      <c r="H11" s="174" t="s">
        <v>466</v>
      </c>
      <c r="I11" s="177">
        <v>10.34</v>
      </c>
      <c r="J11" s="76">
        <f>IF(AND((STDEV(I$9:I$13)/AVERAGE(I$9:I$13))&lt;=0.25,ISNUMBER(I11)),I11,IF(AND(I11&lt;=(AVERAGE(I$9:I$13)+STDEV(I$9:I$13)),I11&gt;=(AVERAGE(I$9:I$13)-STDEV(I$9:I$13)),ISNUMBER(I11)),I11,""))</f>
        <v>10.34</v>
      </c>
      <c r="K11" s="77" t="str">
        <f>IF(I11="","",IF(AND(COUNT(I$9:I$13)=1,ISNUMBER(I11)),"Sim",IF(AND((STDEV(J$9:J$13)/AVERAGE(J$9:J$13))&lt;0.25,ISNUMBER(J11)),"Sim",IF(AND(J11&lt;=(AVERAGE(J$9:J$13)+STDEV(J$9:J$13)),J11&gt;=(AVERAGE(J$9:J$13)-STDEV(J$9:J$13)),ISNUMBER(J11)),"Sim","Não"))))</f>
        <v>Sim</v>
      </c>
      <c r="L11" s="77">
        <f t="shared" si="0"/>
        <v>10.34</v>
      </c>
      <c r="M11" s="405"/>
      <c r="N11" s="282"/>
      <c r="P11" s="37"/>
      <c r="Q11" s="3"/>
      <c r="R11" s="3"/>
    </row>
    <row r="12" spans="1:18">
      <c r="A12" s="284"/>
      <c r="B12" s="284"/>
      <c r="C12" s="279"/>
      <c r="D12" s="176" t="s">
        <v>271</v>
      </c>
      <c r="E12" s="401" t="s">
        <v>467</v>
      </c>
      <c r="F12" s="401"/>
      <c r="G12" s="174" t="s">
        <v>468</v>
      </c>
      <c r="H12" s="174" t="s">
        <v>469</v>
      </c>
      <c r="I12" s="177">
        <v>15.59</v>
      </c>
      <c r="J12" s="76">
        <f>IF(AND((STDEV(I$9:I$13)/AVERAGE(I$9:I$13))&lt;=0.25,ISNUMBER(I12)),I12,IF(AND(I12&lt;=(AVERAGE(I$9:I$13)+STDEV(I$9:I$13)),I12&gt;=(AVERAGE(I$9:I$13)-STDEV(I$9:I$13)),ISNUMBER(I12)),I12,""))</f>
        <v>15.59</v>
      </c>
      <c r="K12" s="77" t="str">
        <f>IF(I12="","",IF(AND(COUNT(I$9:I$13)=1,ISNUMBER(I12)),"Sim",IF(AND((STDEV(J$9:J$13)/AVERAGE(J$9:J$13))&lt;0.25,ISNUMBER(J12)),"Sim",IF(AND(J12&lt;=(AVERAGE(J$9:J$13)+STDEV(J$9:J$13)),J12&gt;=(AVERAGE(J$9:J$13)-STDEV(J$9:J$13)),ISNUMBER(J12)),"Sim","Não"))))</f>
        <v>Sim</v>
      </c>
      <c r="L12" s="77">
        <f t="shared" si="0"/>
        <v>15.59</v>
      </c>
      <c r="M12" s="405"/>
      <c r="N12" s="282"/>
      <c r="P12" s="37"/>
      <c r="Q12" s="3"/>
      <c r="R12" s="3"/>
    </row>
    <row r="13" spans="1:18" ht="15" customHeight="1">
      <c r="A13" s="284"/>
      <c r="B13" s="284"/>
      <c r="C13" s="279"/>
      <c r="D13" s="80" t="s">
        <v>93</v>
      </c>
      <c r="E13" s="373" t="s">
        <v>470</v>
      </c>
      <c r="F13" s="373"/>
      <c r="G13" s="178" t="s">
        <v>471</v>
      </c>
      <c r="H13" s="178" t="s">
        <v>472</v>
      </c>
      <c r="I13" s="175">
        <v>13.45</v>
      </c>
      <c r="J13" s="76">
        <f>IF(AND((STDEV(I$9:I$13)/AVERAGE(I$9:I$13))&lt;=0.25,ISNUMBER(I13)),I13,IF(AND(I13&lt;=(AVERAGE(I$9:I$13)+STDEV(I$9:I$13)),I13&gt;=(AVERAGE(I$9:I$13)-STDEV(I$9:I$13)),ISNUMBER(I13)),I13,""))</f>
        <v>13.45</v>
      </c>
      <c r="K13" s="77" t="str">
        <f>IF(I13="","",IF(AND(COUNT(I$9:I$13)=1,ISNUMBER(I13)),"Sim",IF(AND((STDEV(J$9:J$13)/AVERAGE(J$9:J$13))&lt;0.25,ISNUMBER(J13)),"Sim",IF(AND(J13&lt;=(AVERAGE(J$9:J$13)+STDEV(J$9:J$13)),J13&gt;=(AVERAGE(J$9:J$13)-STDEV(J$9:J$13)),ISNUMBER(J13)),"Sim","Não"))))</f>
        <v>Sim</v>
      </c>
      <c r="L13" s="77">
        <f t="shared" si="0"/>
        <v>13.45</v>
      </c>
      <c r="M13" s="406"/>
      <c r="N13" s="282"/>
      <c r="P13" s="37"/>
      <c r="Q13" s="3"/>
      <c r="R13" s="3"/>
    </row>
    <row r="14" spans="1:18">
      <c r="A14" s="30"/>
      <c r="B14" s="30"/>
      <c r="C14" s="29"/>
      <c r="E14" s="9"/>
      <c r="F14" s="23"/>
      <c r="G14" s="29"/>
      <c r="H14" s="29"/>
      <c r="P14" s="37"/>
      <c r="Q14" s="3"/>
      <c r="R14" s="3"/>
    </row>
    <row r="15" spans="1:18">
      <c r="C15" s="29"/>
      <c r="E15" s="9"/>
      <c r="F15" s="23"/>
      <c r="G15" s="29"/>
      <c r="H15" s="29"/>
      <c r="P15" s="37"/>
      <c r="Q15" s="3"/>
      <c r="R15" s="3"/>
    </row>
    <row r="16" spans="1:18">
      <c r="C16" s="29"/>
      <c r="E16" s="9"/>
      <c r="F16" s="23"/>
      <c r="G16" s="29"/>
      <c r="H16" s="29"/>
      <c r="P16" s="37"/>
      <c r="Q16" s="3"/>
      <c r="R16" s="3"/>
    </row>
    <row r="17" spans="3:8">
      <c r="C17" s="29"/>
      <c r="E17" s="9"/>
      <c r="F17" s="23"/>
      <c r="G17" s="29"/>
      <c r="H17" s="29"/>
    </row>
    <row r="18" spans="3:8">
      <c r="C18" s="29"/>
      <c r="E18" s="9"/>
      <c r="F18" s="23"/>
      <c r="G18" s="29"/>
      <c r="H18" s="29"/>
    </row>
    <row r="19" spans="3:8">
      <c r="C19" s="29"/>
      <c r="E19" s="9"/>
      <c r="F19" s="23"/>
      <c r="G19" s="29"/>
      <c r="H19" s="29"/>
    </row>
    <row r="20" spans="3:8">
      <c r="C20" s="29"/>
      <c r="E20" s="9"/>
      <c r="F20" s="23"/>
      <c r="G20" s="29"/>
      <c r="H20" s="29"/>
    </row>
  </sheetData>
  <mergeCells count="23">
    <mergeCell ref="A1:E1"/>
    <mergeCell ref="F1:H1"/>
    <mergeCell ref="A6:E7"/>
    <mergeCell ref="F6:H7"/>
    <mergeCell ref="I1:N1"/>
    <mergeCell ref="A5:E5"/>
    <mergeCell ref="F5:H5"/>
    <mergeCell ref="I5:L5"/>
    <mergeCell ref="M5:N5"/>
    <mergeCell ref="I6:L7"/>
    <mergeCell ref="M6:N6"/>
    <mergeCell ref="M7:N7"/>
    <mergeCell ref="E8:F8"/>
    <mergeCell ref="A9:A13"/>
    <mergeCell ref="B9:B13"/>
    <mergeCell ref="C9:C13"/>
    <mergeCell ref="E9:F9"/>
    <mergeCell ref="N9:N13"/>
    <mergeCell ref="E10:F10"/>
    <mergeCell ref="E11:F11"/>
    <mergeCell ref="E12:F12"/>
    <mergeCell ref="E13:F13"/>
    <mergeCell ref="M9:M13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E3CE8-2D48-48B8-8F3F-2CBA34EC2DA6}">
  <dimension ref="A1:G95"/>
  <sheetViews>
    <sheetView topLeftCell="A15" zoomScaleNormal="100" zoomScaleSheetLayoutView="80" workbookViewId="0">
      <selection activeCell="D26" sqref="D26"/>
    </sheetView>
  </sheetViews>
  <sheetFormatPr defaultRowHeight="15"/>
  <cols>
    <col min="1" max="1" width="9.28515625" customWidth="1"/>
    <col min="2" max="2" width="41.85546875" customWidth="1"/>
    <col min="3" max="3" width="12.5703125" style="41" customWidth="1"/>
    <col min="4" max="4" width="14.7109375" style="41" customWidth="1"/>
    <col min="5" max="5" width="16.85546875" bestFit="1" customWidth="1"/>
    <col min="6" max="6" width="15.7109375" bestFit="1" customWidth="1"/>
    <col min="7" max="7" width="8.5703125" customWidth="1"/>
    <col min="253" max="253" width="3.140625" customWidth="1"/>
    <col min="254" max="254" width="9.28515625" customWidth="1"/>
    <col min="255" max="255" width="73.42578125" customWidth="1"/>
    <col min="256" max="256" width="15.85546875" bestFit="1" customWidth="1"/>
    <col min="257" max="258" width="14.7109375" customWidth="1"/>
    <col min="259" max="259" width="15.7109375" customWidth="1"/>
    <col min="509" max="509" width="3.140625" customWidth="1"/>
    <col min="510" max="510" width="9.28515625" customWidth="1"/>
    <col min="511" max="511" width="73.42578125" customWidth="1"/>
    <col min="512" max="512" width="15.85546875" bestFit="1" customWidth="1"/>
    <col min="513" max="514" width="14.7109375" customWidth="1"/>
    <col min="515" max="515" width="15.7109375" customWidth="1"/>
    <col min="765" max="765" width="3.140625" customWidth="1"/>
    <col min="766" max="766" width="9.28515625" customWidth="1"/>
    <col min="767" max="767" width="73.42578125" customWidth="1"/>
    <col min="768" max="768" width="15.85546875" bestFit="1" customWidth="1"/>
    <col min="769" max="770" width="14.7109375" customWidth="1"/>
    <col min="771" max="771" width="15.7109375" customWidth="1"/>
    <col min="1021" max="1021" width="3.140625" customWidth="1"/>
    <col min="1022" max="1022" width="9.28515625" customWidth="1"/>
    <col min="1023" max="1023" width="73.42578125" customWidth="1"/>
    <col min="1024" max="1024" width="15.85546875" bestFit="1" customWidth="1"/>
    <col min="1025" max="1026" width="14.7109375" customWidth="1"/>
    <col min="1027" max="1027" width="15.7109375" customWidth="1"/>
    <col min="1277" max="1277" width="3.140625" customWidth="1"/>
    <col min="1278" max="1278" width="9.28515625" customWidth="1"/>
    <col min="1279" max="1279" width="73.42578125" customWidth="1"/>
    <col min="1280" max="1280" width="15.85546875" bestFit="1" customWidth="1"/>
    <col min="1281" max="1282" width="14.7109375" customWidth="1"/>
    <col min="1283" max="1283" width="15.7109375" customWidth="1"/>
    <col min="1533" max="1533" width="3.140625" customWidth="1"/>
    <col min="1534" max="1534" width="9.28515625" customWidth="1"/>
    <col min="1535" max="1535" width="73.42578125" customWidth="1"/>
    <col min="1536" max="1536" width="15.85546875" bestFit="1" customWidth="1"/>
    <col min="1537" max="1538" width="14.7109375" customWidth="1"/>
    <col min="1539" max="1539" width="15.7109375" customWidth="1"/>
    <col min="1789" max="1789" width="3.140625" customWidth="1"/>
    <col min="1790" max="1790" width="9.28515625" customWidth="1"/>
    <col min="1791" max="1791" width="73.42578125" customWidth="1"/>
    <col min="1792" max="1792" width="15.85546875" bestFit="1" customWidth="1"/>
    <col min="1793" max="1794" width="14.7109375" customWidth="1"/>
    <col min="1795" max="1795" width="15.7109375" customWidth="1"/>
    <col min="2045" max="2045" width="3.140625" customWidth="1"/>
    <col min="2046" max="2046" width="9.28515625" customWidth="1"/>
    <col min="2047" max="2047" width="73.42578125" customWidth="1"/>
    <col min="2048" max="2048" width="15.85546875" bestFit="1" customWidth="1"/>
    <col min="2049" max="2050" width="14.7109375" customWidth="1"/>
    <col min="2051" max="2051" width="15.7109375" customWidth="1"/>
    <col min="2301" max="2301" width="3.140625" customWidth="1"/>
    <col min="2302" max="2302" width="9.28515625" customWidth="1"/>
    <col min="2303" max="2303" width="73.42578125" customWidth="1"/>
    <col min="2304" max="2304" width="15.85546875" bestFit="1" customWidth="1"/>
    <col min="2305" max="2306" width="14.7109375" customWidth="1"/>
    <col min="2307" max="2307" width="15.7109375" customWidth="1"/>
    <col min="2557" max="2557" width="3.140625" customWidth="1"/>
    <col min="2558" max="2558" width="9.28515625" customWidth="1"/>
    <col min="2559" max="2559" width="73.42578125" customWidth="1"/>
    <col min="2560" max="2560" width="15.85546875" bestFit="1" customWidth="1"/>
    <col min="2561" max="2562" width="14.7109375" customWidth="1"/>
    <col min="2563" max="2563" width="15.7109375" customWidth="1"/>
    <col min="2813" max="2813" width="3.140625" customWidth="1"/>
    <col min="2814" max="2814" width="9.28515625" customWidth="1"/>
    <col min="2815" max="2815" width="73.42578125" customWidth="1"/>
    <col min="2816" max="2816" width="15.85546875" bestFit="1" customWidth="1"/>
    <col min="2817" max="2818" width="14.7109375" customWidth="1"/>
    <col min="2819" max="2819" width="15.7109375" customWidth="1"/>
    <col min="3069" max="3069" width="3.140625" customWidth="1"/>
    <col min="3070" max="3070" width="9.28515625" customWidth="1"/>
    <col min="3071" max="3071" width="73.42578125" customWidth="1"/>
    <col min="3072" max="3072" width="15.85546875" bestFit="1" customWidth="1"/>
    <col min="3073" max="3074" width="14.7109375" customWidth="1"/>
    <col min="3075" max="3075" width="15.7109375" customWidth="1"/>
    <col min="3325" max="3325" width="3.140625" customWidth="1"/>
    <col min="3326" max="3326" width="9.28515625" customWidth="1"/>
    <col min="3327" max="3327" width="73.42578125" customWidth="1"/>
    <col min="3328" max="3328" width="15.85546875" bestFit="1" customWidth="1"/>
    <col min="3329" max="3330" width="14.7109375" customWidth="1"/>
    <col min="3331" max="3331" width="15.7109375" customWidth="1"/>
    <col min="3581" max="3581" width="3.140625" customWidth="1"/>
    <col min="3582" max="3582" width="9.28515625" customWidth="1"/>
    <col min="3583" max="3583" width="73.42578125" customWidth="1"/>
    <col min="3584" max="3584" width="15.85546875" bestFit="1" customWidth="1"/>
    <col min="3585" max="3586" width="14.7109375" customWidth="1"/>
    <col min="3587" max="3587" width="15.7109375" customWidth="1"/>
    <col min="3837" max="3837" width="3.140625" customWidth="1"/>
    <col min="3838" max="3838" width="9.28515625" customWidth="1"/>
    <col min="3839" max="3839" width="73.42578125" customWidth="1"/>
    <col min="3840" max="3840" width="15.85546875" bestFit="1" customWidth="1"/>
    <col min="3841" max="3842" width="14.7109375" customWidth="1"/>
    <col min="3843" max="3843" width="15.7109375" customWidth="1"/>
    <col min="4093" max="4093" width="3.140625" customWidth="1"/>
    <col min="4094" max="4094" width="9.28515625" customWidth="1"/>
    <col min="4095" max="4095" width="73.42578125" customWidth="1"/>
    <col min="4096" max="4096" width="15.85546875" bestFit="1" customWidth="1"/>
    <col min="4097" max="4098" width="14.7109375" customWidth="1"/>
    <col min="4099" max="4099" width="15.7109375" customWidth="1"/>
    <col min="4349" max="4349" width="3.140625" customWidth="1"/>
    <col min="4350" max="4350" width="9.28515625" customWidth="1"/>
    <col min="4351" max="4351" width="73.42578125" customWidth="1"/>
    <col min="4352" max="4352" width="15.85546875" bestFit="1" customWidth="1"/>
    <col min="4353" max="4354" width="14.7109375" customWidth="1"/>
    <col min="4355" max="4355" width="15.7109375" customWidth="1"/>
    <col min="4605" max="4605" width="3.140625" customWidth="1"/>
    <col min="4606" max="4606" width="9.28515625" customWidth="1"/>
    <col min="4607" max="4607" width="73.42578125" customWidth="1"/>
    <col min="4608" max="4608" width="15.85546875" bestFit="1" customWidth="1"/>
    <col min="4609" max="4610" width="14.7109375" customWidth="1"/>
    <col min="4611" max="4611" width="15.7109375" customWidth="1"/>
    <col min="4861" max="4861" width="3.140625" customWidth="1"/>
    <col min="4862" max="4862" width="9.28515625" customWidth="1"/>
    <col min="4863" max="4863" width="73.42578125" customWidth="1"/>
    <col min="4864" max="4864" width="15.85546875" bestFit="1" customWidth="1"/>
    <col min="4865" max="4866" width="14.7109375" customWidth="1"/>
    <col min="4867" max="4867" width="15.7109375" customWidth="1"/>
    <col min="5117" max="5117" width="3.140625" customWidth="1"/>
    <col min="5118" max="5118" width="9.28515625" customWidth="1"/>
    <col min="5119" max="5119" width="73.42578125" customWidth="1"/>
    <col min="5120" max="5120" width="15.85546875" bestFit="1" customWidth="1"/>
    <col min="5121" max="5122" width="14.7109375" customWidth="1"/>
    <col min="5123" max="5123" width="15.7109375" customWidth="1"/>
    <col min="5373" max="5373" width="3.140625" customWidth="1"/>
    <col min="5374" max="5374" width="9.28515625" customWidth="1"/>
    <col min="5375" max="5375" width="73.42578125" customWidth="1"/>
    <col min="5376" max="5376" width="15.85546875" bestFit="1" customWidth="1"/>
    <col min="5377" max="5378" width="14.7109375" customWidth="1"/>
    <col min="5379" max="5379" width="15.7109375" customWidth="1"/>
    <col min="5629" max="5629" width="3.140625" customWidth="1"/>
    <col min="5630" max="5630" width="9.28515625" customWidth="1"/>
    <col min="5631" max="5631" width="73.42578125" customWidth="1"/>
    <col min="5632" max="5632" width="15.85546875" bestFit="1" customWidth="1"/>
    <col min="5633" max="5634" width="14.7109375" customWidth="1"/>
    <col min="5635" max="5635" width="15.7109375" customWidth="1"/>
    <col min="5885" max="5885" width="3.140625" customWidth="1"/>
    <col min="5886" max="5886" width="9.28515625" customWidth="1"/>
    <col min="5887" max="5887" width="73.42578125" customWidth="1"/>
    <col min="5888" max="5888" width="15.85546875" bestFit="1" customWidth="1"/>
    <col min="5889" max="5890" width="14.7109375" customWidth="1"/>
    <col min="5891" max="5891" width="15.7109375" customWidth="1"/>
    <col min="6141" max="6141" width="3.140625" customWidth="1"/>
    <col min="6142" max="6142" width="9.28515625" customWidth="1"/>
    <col min="6143" max="6143" width="73.42578125" customWidth="1"/>
    <col min="6144" max="6144" width="15.85546875" bestFit="1" customWidth="1"/>
    <col min="6145" max="6146" width="14.7109375" customWidth="1"/>
    <col min="6147" max="6147" width="15.7109375" customWidth="1"/>
    <col min="6397" max="6397" width="3.140625" customWidth="1"/>
    <col min="6398" max="6398" width="9.28515625" customWidth="1"/>
    <col min="6399" max="6399" width="73.42578125" customWidth="1"/>
    <col min="6400" max="6400" width="15.85546875" bestFit="1" customWidth="1"/>
    <col min="6401" max="6402" width="14.7109375" customWidth="1"/>
    <col min="6403" max="6403" width="15.7109375" customWidth="1"/>
    <col min="6653" max="6653" width="3.140625" customWidth="1"/>
    <col min="6654" max="6654" width="9.28515625" customWidth="1"/>
    <col min="6655" max="6655" width="73.42578125" customWidth="1"/>
    <col min="6656" max="6656" width="15.85546875" bestFit="1" customWidth="1"/>
    <col min="6657" max="6658" width="14.7109375" customWidth="1"/>
    <col min="6659" max="6659" width="15.7109375" customWidth="1"/>
    <col min="6909" max="6909" width="3.140625" customWidth="1"/>
    <col min="6910" max="6910" width="9.28515625" customWidth="1"/>
    <col min="6911" max="6911" width="73.42578125" customWidth="1"/>
    <col min="6912" max="6912" width="15.85546875" bestFit="1" customWidth="1"/>
    <col min="6913" max="6914" width="14.7109375" customWidth="1"/>
    <col min="6915" max="6915" width="15.7109375" customWidth="1"/>
    <col min="7165" max="7165" width="3.140625" customWidth="1"/>
    <col min="7166" max="7166" width="9.28515625" customWidth="1"/>
    <col min="7167" max="7167" width="73.42578125" customWidth="1"/>
    <col min="7168" max="7168" width="15.85546875" bestFit="1" customWidth="1"/>
    <col min="7169" max="7170" width="14.7109375" customWidth="1"/>
    <col min="7171" max="7171" width="15.7109375" customWidth="1"/>
    <col min="7421" max="7421" width="3.140625" customWidth="1"/>
    <col min="7422" max="7422" width="9.28515625" customWidth="1"/>
    <col min="7423" max="7423" width="73.42578125" customWidth="1"/>
    <col min="7424" max="7424" width="15.85546875" bestFit="1" customWidth="1"/>
    <col min="7425" max="7426" width="14.7109375" customWidth="1"/>
    <col min="7427" max="7427" width="15.7109375" customWidth="1"/>
    <col min="7677" max="7677" width="3.140625" customWidth="1"/>
    <col min="7678" max="7678" width="9.28515625" customWidth="1"/>
    <col min="7679" max="7679" width="73.42578125" customWidth="1"/>
    <col min="7680" max="7680" width="15.85546875" bestFit="1" customWidth="1"/>
    <col min="7681" max="7682" width="14.7109375" customWidth="1"/>
    <col min="7683" max="7683" width="15.7109375" customWidth="1"/>
    <col min="7933" max="7933" width="3.140625" customWidth="1"/>
    <col min="7934" max="7934" width="9.28515625" customWidth="1"/>
    <col min="7935" max="7935" width="73.42578125" customWidth="1"/>
    <col min="7936" max="7936" width="15.85546875" bestFit="1" customWidth="1"/>
    <col min="7937" max="7938" width="14.7109375" customWidth="1"/>
    <col min="7939" max="7939" width="15.7109375" customWidth="1"/>
    <col min="8189" max="8189" width="3.140625" customWidth="1"/>
    <col min="8190" max="8190" width="9.28515625" customWidth="1"/>
    <col min="8191" max="8191" width="73.42578125" customWidth="1"/>
    <col min="8192" max="8192" width="15.85546875" bestFit="1" customWidth="1"/>
    <col min="8193" max="8194" width="14.7109375" customWidth="1"/>
    <col min="8195" max="8195" width="15.7109375" customWidth="1"/>
    <col min="8445" max="8445" width="3.140625" customWidth="1"/>
    <col min="8446" max="8446" width="9.28515625" customWidth="1"/>
    <col min="8447" max="8447" width="73.42578125" customWidth="1"/>
    <col min="8448" max="8448" width="15.85546875" bestFit="1" customWidth="1"/>
    <col min="8449" max="8450" width="14.7109375" customWidth="1"/>
    <col min="8451" max="8451" width="15.7109375" customWidth="1"/>
    <col min="8701" max="8701" width="3.140625" customWidth="1"/>
    <col min="8702" max="8702" width="9.28515625" customWidth="1"/>
    <col min="8703" max="8703" width="73.42578125" customWidth="1"/>
    <col min="8704" max="8704" width="15.85546875" bestFit="1" customWidth="1"/>
    <col min="8705" max="8706" width="14.7109375" customWidth="1"/>
    <col min="8707" max="8707" width="15.7109375" customWidth="1"/>
    <col min="8957" max="8957" width="3.140625" customWidth="1"/>
    <col min="8958" max="8958" width="9.28515625" customWidth="1"/>
    <col min="8959" max="8959" width="73.42578125" customWidth="1"/>
    <col min="8960" max="8960" width="15.85546875" bestFit="1" customWidth="1"/>
    <col min="8961" max="8962" width="14.7109375" customWidth="1"/>
    <col min="8963" max="8963" width="15.7109375" customWidth="1"/>
    <col min="9213" max="9213" width="3.140625" customWidth="1"/>
    <col min="9214" max="9214" width="9.28515625" customWidth="1"/>
    <col min="9215" max="9215" width="73.42578125" customWidth="1"/>
    <col min="9216" max="9216" width="15.85546875" bestFit="1" customWidth="1"/>
    <col min="9217" max="9218" width="14.7109375" customWidth="1"/>
    <col min="9219" max="9219" width="15.7109375" customWidth="1"/>
    <col min="9469" max="9469" width="3.140625" customWidth="1"/>
    <col min="9470" max="9470" width="9.28515625" customWidth="1"/>
    <col min="9471" max="9471" width="73.42578125" customWidth="1"/>
    <col min="9472" max="9472" width="15.85546875" bestFit="1" customWidth="1"/>
    <col min="9473" max="9474" width="14.7109375" customWidth="1"/>
    <col min="9475" max="9475" width="15.7109375" customWidth="1"/>
    <col min="9725" max="9725" width="3.140625" customWidth="1"/>
    <col min="9726" max="9726" width="9.28515625" customWidth="1"/>
    <col min="9727" max="9727" width="73.42578125" customWidth="1"/>
    <col min="9728" max="9728" width="15.85546875" bestFit="1" customWidth="1"/>
    <col min="9729" max="9730" width="14.7109375" customWidth="1"/>
    <col min="9731" max="9731" width="15.7109375" customWidth="1"/>
    <col min="9981" max="9981" width="3.140625" customWidth="1"/>
    <col min="9982" max="9982" width="9.28515625" customWidth="1"/>
    <col min="9983" max="9983" width="73.42578125" customWidth="1"/>
    <col min="9984" max="9984" width="15.85546875" bestFit="1" customWidth="1"/>
    <col min="9985" max="9986" width="14.7109375" customWidth="1"/>
    <col min="9987" max="9987" width="15.7109375" customWidth="1"/>
    <col min="10237" max="10237" width="3.140625" customWidth="1"/>
    <col min="10238" max="10238" width="9.28515625" customWidth="1"/>
    <col min="10239" max="10239" width="73.42578125" customWidth="1"/>
    <col min="10240" max="10240" width="15.85546875" bestFit="1" customWidth="1"/>
    <col min="10241" max="10242" width="14.7109375" customWidth="1"/>
    <col min="10243" max="10243" width="15.7109375" customWidth="1"/>
    <col min="10493" max="10493" width="3.140625" customWidth="1"/>
    <col min="10494" max="10494" width="9.28515625" customWidth="1"/>
    <col min="10495" max="10495" width="73.42578125" customWidth="1"/>
    <col min="10496" max="10496" width="15.85546875" bestFit="1" customWidth="1"/>
    <col min="10497" max="10498" width="14.7109375" customWidth="1"/>
    <col min="10499" max="10499" width="15.7109375" customWidth="1"/>
    <col min="10749" max="10749" width="3.140625" customWidth="1"/>
    <col min="10750" max="10750" width="9.28515625" customWidth="1"/>
    <col min="10751" max="10751" width="73.42578125" customWidth="1"/>
    <col min="10752" max="10752" width="15.85546875" bestFit="1" customWidth="1"/>
    <col min="10753" max="10754" width="14.7109375" customWidth="1"/>
    <col min="10755" max="10755" width="15.7109375" customWidth="1"/>
    <col min="11005" max="11005" width="3.140625" customWidth="1"/>
    <col min="11006" max="11006" width="9.28515625" customWidth="1"/>
    <col min="11007" max="11007" width="73.42578125" customWidth="1"/>
    <col min="11008" max="11008" width="15.85546875" bestFit="1" customWidth="1"/>
    <col min="11009" max="11010" width="14.7109375" customWidth="1"/>
    <col min="11011" max="11011" width="15.7109375" customWidth="1"/>
    <col min="11261" max="11261" width="3.140625" customWidth="1"/>
    <col min="11262" max="11262" width="9.28515625" customWidth="1"/>
    <col min="11263" max="11263" width="73.42578125" customWidth="1"/>
    <col min="11264" max="11264" width="15.85546875" bestFit="1" customWidth="1"/>
    <col min="11265" max="11266" width="14.7109375" customWidth="1"/>
    <col min="11267" max="11267" width="15.7109375" customWidth="1"/>
    <col min="11517" max="11517" width="3.140625" customWidth="1"/>
    <col min="11518" max="11518" width="9.28515625" customWidth="1"/>
    <col min="11519" max="11519" width="73.42578125" customWidth="1"/>
    <col min="11520" max="11520" width="15.85546875" bestFit="1" customWidth="1"/>
    <col min="11521" max="11522" width="14.7109375" customWidth="1"/>
    <col min="11523" max="11523" width="15.7109375" customWidth="1"/>
    <col min="11773" max="11773" width="3.140625" customWidth="1"/>
    <col min="11774" max="11774" width="9.28515625" customWidth="1"/>
    <col min="11775" max="11775" width="73.42578125" customWidth="1"/>
    <col min="11776" max="11776" width="15.85546875" bestFit="1" customWidth="1"/>
    <col min="11777" max="11778" width="14.7109375" customWidth="1"/>
    <col min="11779" max="11779" width="15.7109375" customWidth="1"/>
    <col min="12029" max="12029" width="3.140625" customWidth="1"/>
    <col min="12030" max="12030" width="9.28515625" customWidth="1"/>
    <col min="12031" max="12031" width="73.42578125" customWidth="1"/>
    <col min="12032" max="12032" width="15.85546875" bestFit="1" customWidth="1"/>
    <col min="12033" max="12034" width="14.7109375" customWidth="1"/>
    <col min="12035" max="12035" width="15.7109375" customWidth="1"/>
    <col min="12285" max="12285" width="3.140625" customWidth="1"/>
    <col min="12286" max="12286" width="9.28515625" customWidth="1"/>
    <col min="12287" max="12287" width="73.42578125" customWidth="1"/>
    <col min="12288" max="12288" width="15.85546875" bestFit="1" customWidth="1"/>
    <col min="12289" max="12290" width="14.7109375" customWidth="1"/>
    <col min="12291" max="12291" width="15.7109375" customWidth="1"/>
    <col min="12541" max="12541" width="3.140625" customWidth="1"/>
    <col min="12542" max="12542" width="9.28515625" customWidth="1"/>
    <col min="12543" max="12543" width="73.42578125" customWidth="1"/>
    <col min="12544" max="12544" width="15.85546875" bestFit="1" customWidth="1"/>
    <col min="12545" max="12546" width="14.7109375" customWidth="1"/>
    <col min="12547" max="12547" width="15.7109375" customWidth="1"/>
    <col min="12797" max="12797" width="3.140625" customWidth="1"/>
    <col min="12798" max="12798" width="9.28515625" customWidth="1"/>
    <col min="12799" max="12799" width="73.42578125" customWidth="1"/>
    <col min="12800" max="12800" width="15.85546875" bestFit="1" customWidth="1"/>
    <col min="12801" max="12802" width="14.7109375" customWidth="1"/>
    <col min="12803" max="12803" width="15.7109375" customWidth="1"/>
    <col min="13053" max="13053" width="3.140625" customWidth="1"/>
    <col min="13054" max="13054" width="9.28515625" customWidth="1"/>
    <col min="13055" max="13055" width="73.42578125" customWidth="1"/>
    <col min="13056" max="13056" width="15.85546875" bestFit="1" customWidth="1"/>
    <col min="13057" max="13058" width="14.7109375" customWidth="1"/>
    <col min="13059" max="13059" width="15.7109375" customWidth="1"/>
    <col min="13309" max="13309" width="3.140625" customWidth="1"/>
    <col min="13310" max="13310" width="9.28515625" customWidth="1"/>
    <col min="13311" max="13311" width="73.42578125" customWidth="1"/>
    <col min="13312" max="13312" width="15.85546875" bestFit="1" customWidth="1"/>
    <col min="13313" max="13314" width="14.7109375" customWidth="1"/>
    <col min="13315" max="13315" width="15.7109375" customWidth="1"/>
    <col min="13565" max="13565" width="3.140625" customWidth="1"/>
    <col min="13566" max="13566" width="9.28515625" customWidth="1"/>
    <col min="13567" max="13567" width="73.42578125" customWidth="1"/>
    <col min="13568" max="13568" width="15.85546875" bestFit="1" customWidth="1"/>
    <col min="13569" max="13570" width="14.7109375" customWidth="1"/>
    <col min="13571" max="13571" width="15.7109375" customWidth="1"/>
    <col min="13821" max="13821" width="3.140625" customWidth="1"/>
    <col min="13822" max="13822" width="9.28515625" customWidth="1"/>
    <col min="13823" max="13823" width="73.42578125" customWidth="1"/>
    <col min="13824" max="13824" width="15.85546875" bestFit="1" customWidth="1"/>
    <col min="13825" max="13826" width="14.7109375" customWidth="1"/>
    <col min="13827" max="13827" width="15.7109375" customWidth="1"/>
    <col min="14077" max="14077" width="3.140625" customWidth="1"/>
    <col min="14078" max="14078" width="9.28515625" customWidth="1"/>
    <col min="14079" max="14079" width="73.42578125" customWidth="1"/>
    <col min="14080" max="14080" width="15.85546875" bestFit="1" customWidth="1"/>
    <col min="14081" max="14082" width="14.7109375" customWidth="1"/>
    <col min="14083" max="14083" width="15.7109375" customWidth="1"/>
    <col min="14333" max="14333" width="3.140625" customWidth="1"/>
    <col min="14334" max="14334" width="9.28515625" customWidth="1"/>
    <col min="14335" max="14335" width="73.42578125" customWidth="1"/>
    <col min="14336" max="14336" width="15.85546875" bestFit="1" customWidth="1"/>
    <col min="14337" max="14338" width="14.7109375" customWidth="1"/>
    <col min="14339" max="14339" width="15.7109375" customWidth="1"/>
    <col min="14589" max="14589" width="3.140625" customWidth="1"/>
    <col min="14590" max="14590" width="9.28515625" customWidth="1"/>
    <col min="14591" max="14591" width="73.42578125" customWidth="1"/>
    <col min="14592" max="14592" width="15.85546875" bestFit="1" customWidth="1"/>
    <col min="14593" max="14594" width="14.7109375" customWidth="1"/>
    <col min="14595" max="14595" width="15.7109375" customWidth="1"/>
    <col min="14845" max="14845" width="3.140625" customWidth="1"/>
    <col min="14846" max="14846" width="9.28515625" customWidth="1"/>
    <col min="14847" max="14847" width="73.42578125" customWidth="1"/>
    <col min="14848" max="14848" width="15.85546875" bestFit="1" customWidth="1"/>
    <col min="14849" max="14850" width="14.7109375" customWidth="1"/>
    <col min="14851" max="14851" width="15.7109375" customWidth="1"/>
    <col min="15101" max="15101" width="3.140625" customWidth="1"/>
    <col min="15102" max="15102" width="9.28515625" customWidth="1"/>
    <col min="15103" max="15103" width="73.42578125" customWidth="1"/>
    <col min="15104" max="15104" width="15.85546875" bestFit="1" customWidth="1"/>
    <col min="15105" max="15106" width="14.7109375" customWidth="1"/>
    <col min="15107" max="15107" width="15.7109375" customWidth="1"/>
    <col min="15357" max="15357" width="3.140625" customWidth="1"/>
    <col min="15358" max="15358" width="9.28515625" customWidth="1"/>
    <col min="15359" max="15359" width="73.42578125" customWidth="1"/>
    <col min="15360" max="15360" width="15.85546875" bestFit="1" customWidth="1"/>
    <col min="15361" max="15362" width="14.7109375" customWidth="1"/>
    <col min="15363" max="15363" width="15.7109375" customWidth="1"/>
    <col min="15613" max="15613" width="3.140625" customWidth="1"/>
    <col min="15614" max="15614" width="9.28515625" customWidth="1"/>
    <col min="15615" max="15615" width="73.42578125" customWidth="1"/>
    <col min="15616" max="15616" width="15.85546875" bestFit="1" customWidth="1"/>
    <col min="15617" max="15618" width="14.7109375" customWidth="1"/>
    <col min="15619" max="15619" width="15.7109375" customWidth="1"/>
    <col min="15869" max="15869" width="3.140625" customWidth="1"/>
    <col min="15870" max="15870" width="9.28515625" customWidth="1"/>
    <col min="15871" max="15871" width="73.42578125" customWidth="1"/>
    <col min="15872" max="15872" width="15.85546875" bestFit="1" customWidth="1"/>
    <col min="15873" max="15874" width="14.7109375" customWidth="1"/>
    <col min="15875" max="15875" width="15.7109375" customWidth="1"/>
    <col min="16125" max="16125" width="3.140625" customWidth="1"/>
    <col min="16126" max="16126" width="9.28515625" customWidth="1"/>
    <col min="16127" max="16127" width="73.42578125" customWidth="1"/>
    <col min="16128" max="16128" width="15.85546875" bestFit="1" customWidth="1"/>
    <col min="16129" max="16130" width="14.7109375" customWidth="1"/>
    <col min="16131" max="16131" width="15.7109375" customWidth="1"/>
  </cols>
  <sheetData>
    <row r="1" spans="1:7" ht="50.1" customHeight="1"/>
    <row r="2" spans="1:7" ht="26.1" customHeight="1">
      <c r="A2" s="411" t="s">
        <v>473</v>
      </c>
      <c r="B2" s="411"/>
      <c r="C2" s="411"/>
      <c r="D2" s="411"/>
      <c r="E2" s="411"/>
      <c r="F2" s="411"/>
      <c r="G2" s="411"/>
    </row>
    <row r="3" spans="1:7" ht="18.75">
      <c r="A3" s="412" t="s">
        <v>474</v>
      </c>
      <c r="B3" s="412"/>
      <c r="C3" s="412"/>
      <c r="D3" s="412"/>
      <c r="E3" s="412"/>
      <c r="F3" s="42"/>
    </row>
    <row r="4" spans="1:7">
      <c r="A4" s="43" t="s">
        <v>11</v>
      </c>
      <c r="B4" s="43" t="s">
        <v>475</v>
      </c>
      <c r="C4" s="44" t="s">
        <v>476</v>
      </c>
      <c r="D4" s="44" t="s">
        <v>477</v>
      </c>
      <c r="E4" s="43" t="s">
        <v>478</v>
      </c>
      <c r="F4" s="45"/>
    </row>
    <row r="5" spans="1:7">
      <c r="A5" s="46">
        <v>1</v>
      </c>
      <c r="B5" s="47" t="s">
        <v>6</v>
      </c>
      <c r="C5" s="181">
        <f>Uniformes!M6</f>
        <v>387</v>
      </c>
      <c r="D5" s="182">
        <v>2</v>
      </c>
      <c r="E5" s="48">
        <f>C5*D5</f>
        <v>774</v>
      </c>
      <c r="F5" s="49" t="s">
        <v>514</v>
      </c>
    </row>
    <row r="6" spans="1:7">
      <c r="A6" s="46">
        <v>2</v>
      </c>
      <c r="B6" s="47" t="s">
        <v>39</v>
      </c>
      <c r="C6" s="181">
        <f>Uniformes!M18</f>
        <v>159.99</v>
      </c>
      <c r="D6" s="182">
        <v>4</v>
      </c>
      <c r="E6" s="48">
        <f t="shared" ref="E6:E12" si="0">C6*D6</f>
        <v>639.96</v>
      </c>
      <c r="F6" s="49" t="s">
        <v>515</v>
      </c>
    </row>
    <row r="7" spans="1:7">
      <c r="A7" s="46">
        <v>3</v>
      </c>
      <c r="B7" s="47" t="s">
        <v>479</v>
      </c>
      <c r="C7" s="181">
        <f>Uniformes!M28</f>
        <v>38.9</v>
      </c>
      <c r="D7" s="182">
        <v>4</v>
      </c>
      <c r="E7" s="48">
        <f t="shared" si="0"/>
        <v>155.6</v>
      </c>
      <c r="F7" s="49" t="s">
        <v>522</v>
      </c>
    </row>
    <row r="8" spans="1:7">
      <c r="A8" s="46">
        <v>4</v>
      </c>
      <c r="B8" s="47" t="s">
        <v>480</v>
      </c>
      <c r="C8" s="181">
        <f>Uniformes!M40</f>
        <v>20</v>
      </c>
      <c r="D8" s="182">
        <v>2</v>
      </c>
      <c r="E8" s="48">
        <f t="shared" si="0"/>
        <v>40</v>
      </c>
      <c r="F8" s="49" t="s">
        <v>516</v>
      </c>
    </row>
    <row r="9" spans="1:7">
      <c r="A9" s="46">
        <v>5</v>
      </c>
      <c r="B9" s="47" t="s">
        <v>85</v>
      </c>
      <c r="C9" s="181">
        <f>Uniformes!M52</f>
        <v>22.88</v>
      </c>
      <c r="D9" s="182">
        <v>2</v>
      </c>
      <c r="E9" s="48">
        <f t="shared" si="0"/>
        <v>45.76</v>
      </c>
      <c r="F9" s="49" t="s">
        <v>517</v>
      </c>
    </row>
    <row r="10" spans="1:7">
      <c r="A10" s="46">
        <v>6</v>
      </c>
      <c r="B10" s="47" t="s">
        <v>103</v>
      </c>
      <c r="C10" s="181">
        <f>Uniformes!M64</f>
        <v>18.23</v>
      </c>
      <c r="D10" s="182">
        <v>4</v>
      </c>
      <c r="E10" s="48">
        <f t="shared" si="0"/>
        <v>72.92</v>
      </c>
      <c r="F10" s="49" t="s">
        <v>518</v>
      </c>
    </row>
    <row r="11" spans="1:7" ht="16.5" customHeight="1">
      <c r="A11" s="46">
        <v>7</v>
      </c>
      <c r="B11" s="47" t="s">
        <v>119</v>
      </c>
      <c r="C11" s="181">
        <f>Uniformes!M75</f>
        <v>115.08</v>
      </c>
      <c r="D11" s="182">
        <v>2</v>
      </c>
      <c r="E11" s="48">
        <f t="shared" si="0"/>
        <v>230.16</v>
      </c>
      <c r="F11" s="49" t="s">
        <v>519</v>
      </c>
    </row>
    <row r="12" spans="1:7" ht="16.5" customHeight="1">
      <c r="A12" s="46">
        <v>8</v>
      </c>
      <c r="B12" s="47" t="s">
        <v>481</v>
      </c>
      <c r="C12" s="181">
        <f>Uniformes!M87</f>
        <v>6</v>
      </c>
      <c r="D12" s="182">
        <v>1</v>
      </c>
      <c r="E12" s="48">
        <f t="shared" si="0"/>
        <v>6</v>
      </c>
      <c r="F12" s="49" t="s">
        <v>520</v>
      </c>
    </row>
    <row r="13" spans="1:7" ht="14.45" customHeight="1">
      <c r="A13" s="183">
        <v>9</v>
      </c>
      <c r="B13" s="184" t="s">
        <v>144</v>
      </c>
      <c r="C13" s="185">
        <f>Uniformes!M97</f>
        <v>570.16999999999996</v>
      </c>
      <c r="D13" s="186">
        <v>1</v>
      </c>
      <c r="E13" s="187" t="s">
        <v>534</v>
      </c>
      <c r="F13" s="188" t="s">
        <v>521</v>
      </c>
    </row>
    <row r="14" spans="1:7" ht="16.5" customHeight="1">
      <c r="B14" s="413" t="s">
        <v>482</v>
      </c>
      <c r="C14" s="413"/>
      <c r="D14" s="413"/>
      <c r="E14" s="50">
        <f>SUM(E5:E12)</f>
        <v>1964.4</v>
      </c>
      <c r="F14" s="51"/>
    </row>
    <row r="15" spans="1:7" ht="16.5" customHeight="1">
      <c r="B15" s="414" t="s">
        <v>483</v>
      </c>
      <c r="C15" s="414"/>
      <c r="D15" s="414"/>
      <c r="E15" s="44">
        <f>E14/12</f>
        <v>163.70000000000002</v>
      </c>
      <c r="F15" s="51"/>
    </row>
    <row r="16" spans="1:7" ht="16.5" customHeight="1"/>
    <row r="17" spans="1:6" ht="16.5" customHeight="1"/>
    <row r="18" spans="1:6" ht="18.75">
      <c r="A18" s="415" t="s">
        <v>484</v>
      </c>
      <c r="B18" s="415"/>
      <c r="C18" s="415"/>
      <c r="D18" s="415"/>
      <c r="E18" s="416"/>
      <c r="F18" s="52"/>
    </row>
    <row r="19" spans="1:6">
      <c r="A19" s="43" t="s">
        <v>11</v>
      </c>
      <c r="B19" s="43" t="s">
        <v>475</v>
      </c>
      <c r="C19" s="44" t="s">
        <v>476</v>
      </c>
      <c r="D19" s="44" t="s">
        <v>477</v>
      </c>
      <c r="E19" s="43" t="s">
        <v>478</v>
      </c>
      <c r="F19" s="45"/>
    </row>
    <row r="20" spans="1:6">
      <c r="A20" s="46">
        <v>1</v>
      </c>
      <c r="B20" s="47" t="s">
        <v>485</v>
      </c>
      <c r="C20" s="181">
        <f>Uniformes!M109</f>
        <v>126.22</v>
      </c>
      <c r="D20" s="182">
        <v>4</v>
      </c>
      <c r="E20" s="48">
        <f>C20*D20</f>
        <v>504.88</v>
      </c>
      <c r="F20" s="49" t="s">
        <v>523</v>
      </c>
    </row>
    <row r="21" spans="1:6">
      <c r="A21" s="46">
        <v>2</v>
      </c>
      <c r="B21" s="47" t="s">
        <v>39</v>
      </c>
      <c r="C21" s="181">
        <f>Uniformes!M18</f>
        <v>159.99</v>
      </c>
      <c r="D21" s="182">
        <v>4</v>
      </c>
      <c r="E21" s="48">
        <f t="shared" ref="E21:E30" si="1">C21*D21</f>
        <v>639.96</v>
      </c>
      <c r="F21" s="49" t="s">
        <v>524</v>
      </c>
    </row>
    <row r="22" spans="1:6">
      <c r="A22" s="46">
        <v>3</v>
      </c>
      <c r="B22" s="47" t="s">
        <v>486</v>
      </c>
      <c r="C22" s="181">
        <f>Uniformes!M121</f>
        <v>174</v>
      </c>
      <c r="D22" s="182">
        <v>4</v>
      </c>
      <c r="E22" s="48">
        <f t="shared" si="1"/>
        <v>696</v>
      </c>
      <c r="F22" s="49" t="s">
        <v>525</v>
      </c>
    </row>
    <row r="23" spans="1:6">
      <c r="A23" s="46">
        <v>4</v>
      </c>
      <c r="B23" s="47" t="s">
        <v>479</v>
      </c>
      <c r="C23" s="181">
        <f>Uniformes!M28</f>
        <v>38.9</v>
      </c>
      <c r="D23" s="182">
        <v>4</v>
      </c>
      <c r="E23" s="48">
        <f t="shared" si="1"/>
        <v>155.6</v>
      </c>
      <c r="F23" s="49" t="s">
        <v>526</v>
      </c>
    </row>
    <row r="24" spans="1:6">
      <c r="A24" s="46">
        <v>5</v>
      </c>
      <c r="B24" s="47" t="s">
        <v>487</v>
      </c>
      <c r="C24" s="181">
        <f>Uniformes!M52</f>
        <v>22.88</v>
      </c>
      <c r="D24" s="182">
        <v>1</v>
      </c>
      <c r="E24" s="48">
        <f t="shared" si="1"/>
        <v>22.88</v>
      </c>
      <c r="F24" s="49" t="s">
        <v>527</v>
      </c>
    </row>
    <row r="25" spans="1:6">
      <c r="A25" s="46">
        <v>6</v>
      </c>
      <c r="B25" s="47" t="s">
        <v>183</v>
      </c>
      <c r="C25" s="181">
        <f>Uniformes!M132</f>
        <v>384.2</v>
      </c>
      <c r="D25" s="182">
        <v>2</v>
      </c>
      <c r="E25" s="48">
        <f t="shared" si="1"/>
        <v>768.4</v>
      </c>
      <c r="F25" s="49" t="s">
        <v>528</v>
      </c>
    </row>
    <row r="26" spans="1:6">
      <c r="A26" s="46">
        <v>7</v>
      </c>
      <c r="B26" s="47" t="s">
        <v>200</v>
      </c>
      <c r="C26" s="181">
        <f>Uniformes!M145</f>
        <v>9.24</v>
      </c>
      <c r="D26" s="182">
        <v>4</v>
      </c>
      <c r="E26" s="48">
        <f t="shared" si="1"/>
        <v>36.96</v>
      </c>
      <c r="F26" s="49" t="s">
        <v>529</v>
      </c>
    </row>
    <row r="27" spans="1:6">
      <c r="A27" s="46">
        <v>8</v>
      </c>
      <c r="B27" s="47" t="s">
        <v>488</v>
      </c>
      <c r="C27" s="181">
        <f>Uniformes!M158</f>
        <v>32.979999999999997</v>
      </c>
      <c r="D27" s="182">
        <v>1</v>
      </c>
      <c r="E27" s="48">
        <f t="shared" si="1"/>
        <v>32.979999999999997</v>
      </c>
      <c r="F27" s="49" t="s">
        <v>530</v>
      </c>
    </row>
    <row r="28" spans="1:6">
      <c r="A28" s="46">
        <v>9</v>
      </c>
      <c r="B28" s="47" t="s">
        <v>489</v>
      </c>
      <c r="C28" s="181">
        <f>Uniformes!M170</f>
        <v>240.83</v>
      </c>
      <c r="D28" s="182">
        <v>1</v>
      </c>
      <c r="E28" s="48">
        <f t="shared" si="1"/>
        <v>240.83</v>
      </c>
      <c r="F28" s="49" t="s">
        <v>531</v>
      </c>
    </row>
    <row r="29" spans="1:6">
      <c r="A29" s="46">
        <v>10</v>
      </c>
      <c r="B29" s="47" t="s">
        <v>481</v>
      </c>
      <c r="C29" s="181">
        <f>Uniformes!M87</f>
        <v>6</v>
      </c>
      <c r="D29" s="182">
        <v>1</v>
      </c>
      <c r="E29" s="48">
        <f t="shared" si="1"/>
        <v>6</v>
      </c>
      <c r="F29" s="49" t="s">
        <v>532</v>
      </c>
    </row>
    <row r="30" spans="1:6" ht="14.45" customHeight="1">
      <c r="A30" s="46">
        <v>11</v>
      </c>
      <c r="B30" s="47" t="s">
        <v>144</v>
      </c>
      <c r="C30" s="181">
        <f>Uniformes!M97</f>
        <v>570.16999999999996</v>
      </c>
      <c r="D30" s="182">
        <v>1</v>
      </c>
      <c r="E30" s="48">
        <f t="shared" si="1"/>
        <v>570.16999999999996</v>
      </c>
      <c r="F30" s="49" t="s">
        <v>533</v>
      </c>
    </row>
    <row r="31" spans="1:6">
      <c r="B31" s="410" t="s">
        <v>482</v>
      </c>
      <c r="C31" s="410"/>
      <c r="D31" s="410"/>
      <c r="E31" s="53">
        <f>SUM(E20:E30)</f>
        <v>3674.6600000000003</v>
      </c>
      <c r="F31" s="51"/>
    </row>
    <row r="32" spans="1:6">
      <c r="B32" s="414" t="s">
        <v>483</v>
      </c>
      <c r="C32" s="414"/>
      <c r="D32" s="414"/>
      <c r="E32" s="44">
        <f>E31/12</f>
        <v>306.22166666666669</v>
      </c>
      <c r="F32" s="51"/>
    </row>
    <row r="35" spans="1:6" ht="19.5" customHeight="1">
      <c r="A35" s="415" t="s">
        <v>490</v>
      </c>
      <c r="B35" s="415"/>
      <c r="C35" s="415"/>
      <c r="D35" s="415"/>
      <c r="E35" s="416"/>
      <c r="F35" s="54"/>
    </row>
    <row r="36" spans="1:6">
      <c r="A36" s="408" t="s">
        <v>11</v>
      </c>
      <c r="B36" s="408" t="s">
        <v>475</v>
      </c>
      <c r="C36" s="44" t="s">
        <v>476</v>
      </c>
      <c r="D36" s="44" t="s">
        <v>491</v>
      </c>
      <c r="E36" s="44" t="s">
        <v>492</v>
      </c>
      <c r="F36" s="43" t="s">
        <v>478</v>
      </c>
    </row>
    <row r="37" spans="1:6">
      <c r="A37" s="409"/>
      <c r="B37" s="409"/>
      <c r="C37" s="44" t="s">
        <v>493</v>
      </c>
      <c r="D37" s="44" t="s">
        <v>494</v>
      </c>
      <c r="E37" s="44" t="s">
        <v>495</v>
      </c>
      <c r="F37" s="43" t="s">
        <v>496</v>
      </c>
    </row>
    <row r="38" spans="1:6">
      <c r="A38" s="180">
        <v>1</v>
      </c>
      <c r="B38" s="47" t="s">
        <v>497</v>
      </c>
      <c r="C38" s="181">
        <f>Equipamento!M8</f>
        <v>790.7</v>
      </c>
      <c r="D38" s="182">
        <v>1</v>
      </c>
      <c r="E38" s="63">
        <v>60</v>
      </c>
      <c r="F38" s="48">
        <f>C38/E38*D38</f>
        <v>13.178333333333335</v>
      </c>
    </row>
    <row r="39" spans="1:6">
      <c r="A39" s="180">
        <v>2</v>
      </c>
      <c r="B39" s="47" t="s">
        <v>498</v>
      </c>
      <c r="C39" s="181">
        <f>Equipamento!M20</f>
        <v>478.45</v>
      </c>
      <c r="D39" s="189">
        <v>4</v>
      </c>
      <c r="E39" s="63">
        <v>60</v>
      </c>
      <c r="F39" s="48">
        <f t="shared" ref="F39:F40" si="2">C39/E39*D39</f>
        <v>31.896666666666665</v>
      </c>
    </row>
    <row r="40" spans="1:6" ht="30">
      <c r="A40" s="180">
        <v>3</v>
      </c>
      <c r="B40" s="55" t="s">
        <v>499</v>
      </c>
      <c r="C40" s="181">
        <f>Equipamento!M31</f>
        <v>743.18</v>
      </c>
      <c r="D40" s="182">
        <v>1</v>
      </c>
      <c r="E40" s="63">
        <v>60</v>
      </c>
      <c r="F40" s="48">
        <f t="shared" si="2"/>
        <v>12.386333333333333</v>
      </c>
    </row>
    <row r="41" spans="1:6">
      <c r="A41" s="180">
        <v>4</v>
      </c>
      <c r="B41" s="55" t="s">
        <v>296</v>
      </c>
      <c r="C41" s="181">
        <f>Equipamento!M52</f>
        <v>1532.01</v>
      </c>
      <c r="D41" s="182">
        <v>1</v>
      </c>
      <c r="E41" s="63">
        <v>60</v>
      </c>
      <c r="F41" s="48">
        <f>C41/E41*D41</f>
        <v>25.5335</v>
      </c>
    </row>
    <row r="42" spans="1:6">
      <c r="B42" s="410" t="s">
        <v>500</v>
      </c>
      <c r="C42" s="410"/>
      <c r="D42" s="410"/>
      <c r="E42" s="53"/>
      <c r="F42" s="53">
        <f>SUM(F38:F41)</f>
        <v>82.994833333333332</v>
      </c>
    </row>
    <row r="43" spans="1:6">
      <c r="B43" s="414" t="s">
        <v>483</v>
      </c>
      <c r="C43" s="414"/>
      <c r="D43" s="414"/>
      <c r="E43" s="44"/>
      <c r="F43" s="44">
        <f>F42/8</f>
        <v>10.374354166666667</v>
      </c>
    </row>
    <row r="44" spans="1:6">
      <c r="B44" s="56"/>
      <c r="C44" s="56"/>
      <c r="D44" s="56"/>
      <c r="E44" s="51"/>
      <c r="F44" s="51"/>
    </row>
    <row r="45" spans="1:6">
      <c r="B45" s="56"/>
      <c r="C45" s="56"/>
      <c r="D45" s="56"/>
      <c r="E45" s="51"/>
      <c r="F45" s="51"/>
    </row>
    <row r="48" spans="1:6" ht="21.6" customHeight="1">
      <c r="A48" s="415" t="s">
        <v>501</v>
      </c>
      <c r="B48" s="415"/>
      <c r="C48" s="415"/>
      <c r="D48" s="415"/>
      <c r="E48" s="415"/>
      <c r="F48" s="54"/>
    </row>
    <row r="49" spans="1:6">
      <c r="A49" s="408" t="s">
        <v>11</v>
      </c>
      <c r="B49" s="408" t="s">
        <v>475</v>
      </c>
      <c r="C49" s="44" t="s">
        <v>476</v>
      </c>
      <c r="D49" s="44" t="s">
        <v>491</v>
      </c>
      <c r="E49" s="44" t="s">
        <v>492</v>
      </c>
      <c r="F49" s="43" t="s">
        <v>478</v>
      </c>
    </row>
    <row r="50" spans="1:6">
      <c r="A50" s="409"/>
      <c r="B50" s="409"/>
      <c r="C50" s="44" t="s">
        <v>493</v>
      </c>
      <c r="D50" s="44" t="s">
        <v>494</v>
      </c>
      <c r="E50" s="44" t="s">
        <v>495</v>
      </c>
      <c r="F50" s="43" t="s">
        <v>496</v>
      </c>
    </row>
    <row r="51" spans="1:6">
      <c r="A51" s="180">
        <v>1</v>
      </c>
      <c r="B51" s="47" t="s">
        <v>497</v>
      </c>
      <c r="C51" s="181">
        <f>Equipamento!M8</f>
        <v>790.7</v>
      </c>
      <c r="D51" s="182">
        <v>1</v>
      </c>
      <c r="E51" s="63">
        <v>60</v>
      </c>
      <c r="F51" s="48">
        <f>C51/E51*D51</f>
        <v>13.178333333333335</v>
      </c>
    </row>
    <row r="52" spans="1:6">
      <c r="A52" s="180">
        <v>2</v>
      </c>
      <c r="B52" s="47" t="s">
        <v>498</v>
      </c>
      <c r="C52" s="181">
        <f>Equipamento!M20</f>
        <v>478.45</v>
      </c>
      <c r="D52" s="189">
        <v>2</v>
      </c>
      <c r="E52" s="63">
        <v>60</v>
      </c>
      <c r="F52" s="48">
        <f t="shared" ref="F52:F53" si="3">C52/E52*D52</f>
        <v>15.948333333333332</v>
      </c>
    </row>
    <row r="53" spans="1:6" ht="30">
      <c r="A53" s="180">
        <v>3</v>
      </c>
      <c r="B53" s="57" t="s">
        <v>502</v>
      </c>
      <c r="C53" s="181">
        <f>Equipamento!M41</f>
        <v>743.18</v>
      </c>
      <c r="D53" s="182">
        <v>1</v>
      </c>
      <c r="E53" s="63">
        <v>60</v>
      </c>
      <c r="F53" s="48">
        <f t="shared" si="3"/>
        <v>12.386333333333333</v>
      </c>
    </row>
    <row r="54" spans="1:6">
      <c r="A54" s="180">
        <v>4</v>
      </c>
      <c r="B54" s="55" t="s">
        <v>296</v>
      </c>
      <c r="C54" s="181">
        <f>Equipamento!M52</f>
        <v>1532.01</v>
      </c>
      <c r="D54" s="182">
        <v>1</v>
      </c>
      <c r="E54" s="63">
        <v>60</v>
      </c>
      <c r="F54" s="48">
        <f>C54/E54*D54</f>
        <v>25.5335</v>
      </c>
    </row>
    <row r="55" spans="1:6">
      <c r="B55" s="410" t="s">
        <v>503</v>
      </c>
      <c r="C55" s="410"/>
      <c r="D55" s="410"/>
      <c r="E55" s="53"/>
      <c r="F55" s="53">
        <f>SUM(F51:F54)</f>
        <v>67.046499999999995</v>
      </c>
    </row>
    <row r="56" spans="1:6">
      <c r="B56" s="414" t="s">
        <v>483</v>
      </c>
      <c r="C56" s="414"/>
      <c r="D56" s="414"/>
      <c r="E56" s="44"/>
      <c r="F56" s="44">
        <f>F55/8</f>
        <v>8.3808124999999993</v>
      </c>
    </row>
    <row r="59" spans="1:6" ht="24" customHeight="1">
      <c r="A59" s="417" t="s">
        <v>504</v>
      </c>
      <c r="B59" s="417"/>
      <c r="C59" s="417"/>
      <c r="D59" s="417"/>
      <c r="E59" s="417"/>
      <c r="F59" s="417"/>
    </row>
    <row r="60" spans="1:6">
      <c r="A60" s="408" t="s">
        <v>11</v>
      </c>
      <c r="B60" s="408" t="s">
        <v>475</v>
      </c>
      <c r="C60" s="44" t="s">
        <v>476</v>
      </c>
      <c r="D60" s="44" t="s">
        <v>491</v>
      </c>
      <c r="E60" s="44" t="s">
        <v>492</v>
      </c>
      <c r="F60" s="43" t="s">
        <v>478</v>
      </c>
    </row>
    <row r="61" spans="1:6">
      <c r="A61" s="409"/>
      <c r="B61" s="409"/>
      <c r="C61" s="44" t="s">
        <v>493</v>
      </c>
      <c r="D61" s="44" t="s">
        <v>494</v>
      </c>
      <c r="E61" s="44" t="s">
        <v>495</v>
      </c>
      <c r="F61" s="43" t="s">
        <v>496</v>
      </c>
    </row>
    <row r="62" spans="1:6">
      <c r="A62" s="46">
        <v>1</v>
      </c>
      <c r="B62" s="47" t="s">
        <v>505</v>
      </c>
      <c r="C62" s="181">
        <f>'Material de apoio'!M8</f>
        <v>36.33</v>
      </c>
      <c r="D62" s="182">
        <v>3</v>
      </c>
      <c r="E62" s="63">
        <v>30</v>
      </c>
      <c r="F62" s="48">
        <f>C62/E62*D62</f>
        <v>3.6329999999999996</v>
      </c>
    </row>
    <row r="63" spans="1:6">
      <c r="A63" s="46">
        <v>2</v>
      </c>
      <c r="B63" s="47" t="s">
        <v>506</v>
      </c>
      <c r="C63" s="181">
        <f>'Material de apoio'!M19</f>
        <v>16.420000000000002</v>
      </c>
      <c r="D63" s="182">
        <v>3</v>
      </c>
      <c r="E63" s="63">
        <v>30</v>
      </c>
      <c r="F63" s="48">
        <f t="shared" ref="F63:F69" si="4">C63/E63*D63</f>
        <v>1.6419999999999999</v>
      </c>
    </row>
    <row r="64" spans="1:6">
      <c r="A64" s="46">
        <v>3</v>
      </c>
      <c r="B64" s="47" t="s">
        <v>324</v>
      </c>
      <c r="C64" s="181">
        <f>'Material de apoio'!M29</f>
        <v>8.08</v>
      </c>
      <c r="D64" s="182">
        <v>3</v>
      </c>
      <c r="E64" s="63">
        <v>30</v>
      </c>
      <c r="F64" s="48">
        <f t="shared" si="4"/>
        <v>0.80799999999999994</v>
      </c>
    </row>
    <row r="65" spans="1:7">
      <c r="A65" s="46">
        <v>4</v>
      </c>
      <c r="B65" s="47" t="s">
        <v>341</v>
      </c>
      <c r="C65" s="181">
        <f>'Material de apoio'!M41</f>
        <v>9.65</v>
      </c>
      <c r="D65" s="182">
        <v>3</v>
      </c>
      <c r="E65" s="63">
        <v>30</v>
      </c>
      <c r="F65" s="48">
        <f t="shared" si="4"/>
        <v>0.96499999999999997</v>
      </c>
    </row>
    <row r="66" spans="1:7">
      <c r="A66" s="46">
        <v>5</v>
      </c>
      <c r="B66" s="47" t="s">
        <v>507</v>
      </c>
      <c r="C66" s="181">
        <f>'Material de apoio'!M50</f>
        <v>199</v>
      </c>
      <c r="D66" s="182">
        <v>3</v>
      </c>
      <c r="E66" s="63">
        <v>36</v>
      </c>
      <c r="F66" s="48">
        <f t="shared" si="4"/>
        <v>16.583333333333332</v>
      </c>
    </row>
    <row r="67" spans="1:7">
      <c r="A67" s="46">
        <v>6</v>
      </c>
      <c r="B67" s="47" t="s">
        <v>362</v>
      </c>
      <c r="C67" s="181">
        <f>'Material de apoio'!M61</f>
        <v>13.8</v>
      </c>
      <c r="D67" s="182">
        <v>1</v>
      </c>
      <c r="E67" s="63">
        <v>6</v>
      </c>
      <c r="F67" s="48">
        <f t="shared" si="4"/>
        <v>2.3000000000000003</v>
      </c>
    </row>
    <row r="68" spans="1:7">
      <c r="A68" s="46">
        <v>7</v>
      </c>
      <c r="B68" s="47" t="s">
        <v>374</v>
      </c>
      <c r="C68" s="181">
        <f>'Material de apoio'!M70</f>
        <v>2.72</v>
      </c>
      <c r="D68" s="182">
        <v>1</v>
      </c>
      <c r="E68" s="63">
        <v>3</v>
      </c>
      <c r="F68" s="48">
        <f t="shared" si="4"/>
        <v>0.90666666666666673</v>
      </c>
    </row>
    <row r="69" spans="1:7">
      <c r="A69" s="46">
        <v>8</v>
      </c>
      <c r="B69" s="47" t="s">
        <v>383</v>
      </c>
      <c r="C69" s="181">
        <f>'Material de apoio'!M80</f>
        <v>1370.2</v>
      </c>
      <c r="D69" s="182">
        <v>3</v>
      </c>
      <c r="E69" s="63">
        <v>60</v>
      </c>
      <c r="F69" s="48">
        <f t="shared" si="4"/>
        <v>68.509999999999991</v>
      </c>
    </row>
    <row r="70" spans="1:7">
      <c r="A70" s="58"/>
      <c r="B70" s="59" t="s">
        <v>508</v>
      </c>
      <c r="C70" s="60"/>
      <c r="D70" s="60"/>
      <c r="E70" s="60"/>
      <c r="F70" s="66">
        <f>SUM(F62:F69)</f>
        <v>95.347999999999985</v>
      </c>
    </row>
    <row r="71" spans="1:7" ht="15.75" thickBot="1">
      <c r="A71" s="58"/>
      <c r="B71" s="64" t="s">
        <v>483</v>
      </c>
      <c r="C71" s="65"/>
      <c r="D71" s="65"/>
      <c r="E71" s="65"/>
      <c r="F71" s="67">
        <f>F70/8</f>
        <v>11.918499999999998</v>
      </c>
    </row>
    <row r="72" spans="1:7">
      <c r="C72"/>
      <c r="D72"/>
    </row>
    <row r="73" spans="1:7">
      <c r="B73" s="62"/>
      <c r="C73" s="62"/>
      <c r="D73" s="62"/>
      <c r="E73" s="62"/>
      <c r="F73" s="62"/>
      <c r="G73" s="62"/>
    </row>
    <row r="74" spans="1:7" ht="18.75">
      <c r="A74" s="415" t="s">
        <v>509</v>
      </c>
      <c r="B74" s="415"/>
      <c r="C74" s="415"/>
      <c r="D74" s="415"/>
      <c r="E74" s="415"/>
      <c r="F74" s="415"/>
    </row>
    <row r="75" spans="1:7">
      <c r="A75" s="408" t="s">
        <v>11</v>
      </c>
      <c r="B75" s="408" t="s">
        <v>475</v>
      </c>
      <c r="C75" s="44" t="s">
        <v>476</v>
      </c>
      <c r="D75" s="44" t="s">
        <v>491</v>
      </c>
      <c r="E75" s="44" t="s">
        <v>492</v>
      </c>
      <c r="F75" s="43" t="s">
        <v>478</v>
      </c>
    </row>
    <row r="76" spans="1:7">
      <c r="A76" s="409"/>
      <c r="B76" s="409"/>
      <c r="C76" s="44" t="s">
        <v>493</v>
      </c>
      <c r="D76" s="44" t="s">
        <v>494</v>
      </c>
      <c r="E76" s="44" t="s">
        <v>495</v>
      </c>
      <c r="F76" s="43" t="s">
        <v>496</v>
      </c>
    </row>
    <row r="77" spans="1:7">
      <c r="A77" s="46">
        <v>1</v>
      </c>
      <c r="B77" s="47" t="s">
        <v>505</v>
      </c>
      <c r="C77" s="181">
        <f t="shared" ref="C77:C84" si="5">C62</f>
        <v>36.33</v>
      </c>
      <c r="D77" s="182">
        <v>2</v>
      </c>
      <c r="E77" s="63">
        <v>30</v>
      </c>
      <c r="F77" s="48">
        <f>C77/E77*D77</f>
        <v>2.4219999999999997</v>
      </c>
    </row>
    <row r="78" spans="1:7">
      <c r="A78" s="46">
        <v>2</v>
      </c>
      <c r="B78" s="47" t="s">
        <v>506</v>
      </c>
      <c r="C78" s="181">
        <f t="shared" si="5"/>
        <v>16.420000000000002</v>
      </c>
      <c r="D78" s="182">
        <v>2</v>
      </c>
      <c r="E78" s="63">
        <v>30</v>
      </c>
      <c r="F78" s="48">
        <f t="shared" ref="F78:F89" si="6">C78/E78*D78</f>
        <v>1.0946666666666667</v>
      </c>
    </row>
    <row r="79" spans="1:7">
      <c r="A79" s="46">
        <v>3</v>
      </c>
      <c r="B79" s="47" t="s">
        <v>324</v>
      </c>
      <c r="C79" s="181">
        <f t="shared" si="5"/>
        <v>8.08</v>
      </c>
      <c r="D79" s="182">
        <v>2</v>
      </c>
      <c r="E79" s="63">
        <v>30</v>
      </c>
      <c r="F79" s="48">
        <f t="shared" si="6"/>
        <v>0.53866666666666663</v>
      </c>
    </row>
    <row r="80" spans="1:7">
      <c r="A80" s="46">
        <v>4</v>
      </c>
      <c r="B80" s="47" t="s">
        <v>341</v>
      </c>
      <c r="C80" s="181">
        <f t="shared" si="5"/>
        <v>9.65</v>
      </c>
      <c r="D80" s="182">
        <v>2</v>
      </c>
      <c r="E80" s="63">
        <v>30</v>
      </c>
      <c r="F80" s="48">
        <f t="shared" si="6"/>
        <v>0.64333333333333331</v>
      </c>
    </row>
    <row r="81" spans="1:6">
      <c r="A81" s="46">
        <v>5</v>
      </c>
      <c r="B81" s="47" t="s">
        <v>510</v>
      </c>
      <c r="C81" s="181">
        <f t="shared" si="5"/>
        <v>199</v>
      </c>
      <c r="D81" s="182">
        <v>2</v>
      </c>
      <c r="E81" s="63">
        <v>36</v>
      </c>
      <c r="F81" s="48">
        <f t="shared" si="6"/>
        <v>11.055555555555555</v>
      </c>
    </row>
    <row r="82" spans="1:6">
      <c r="A82" s="46">
        <v>6</v>
      </c>
      <c r="B82" s="47" t="s">
        <v>362</v>
      </c>
      <c r="C82" s="181">
        <f t="shared" si="5"/>
        <v>13.8</v>
      </c>
      <c r="D82" s="182">
        <v>1</v>
      </c>
      <c r="E82" s="63">
        <v>6</v>
      </c>
      <c r="F82" s="48">
        <f t="shared" si="6"/>
        <v>2.3000000000000003</v>
      </c>
    </row>
    <row r="83" spans="1:6">
      <c r="A83" s="46">
        <v>7</v>
      </c>
      <c r="B83" s="47" t="s">
        <v>374</v>
      </c>
      <c r="C83" s="181">
        <f t="shared" si="5"/>
        <v>2.72</v>
      </c>
      <c r="D83" s="182">
        <v>1</v>
      </c>
      <c r="E83" s="63">
        <v>3</v>
      </c>
      <c r="F83" s="48">
        <f t="shared" si="6"/>
        <v>0.90666666666666673</v>
      </c>
    </row>
    <row r="84" spans="1:6">
      <c r="A84" s="46">
        <v>8</v>
      </c>
      <c r="B84" s="47" t="s">
        <v>383</v>
      </c>
      <c r="C84" s="181">
        <f t="shared" si="5"/>
        <v>1370.2</v>
      </c>
      <c r="D84" s="182">
        <v>2</v>
      </c>
      <c r="E84" s="63">
        <v>60</v>
      </c>
      <c r="F84" s="48">
        <f t="shared" si="6"/>
        <v>45.673333333333332</v>
      </c>
    </row>
    <row r="85" spans="1:6">
      <c r="A85" s="46">
        <v>9</v>
      </c>
      <c r="B85" s="47" t="s">
        <v>511</v>
      </c>
      <c r="C85" s="181">
        <f>'Material de apoio'!M91</f>
        <v>4739.72</v>
      </c>
      <c r="D85" s="182">
        <v>2</v>
      </c>
      <c r="E85" s="63">
        <v>120</v>
      </c>
      <c r="F85" s="48">
        <f t="shared" si="6"/>
        <v>78.995333333333335</v>
      </c>
    </row>
    <row r="86" spans="1:6">
      <c r="A86" s="46">
        <v>10</v>
      </c>
      <c r="B86" s="47" t="s">
        <v>415</v>
      </c>
      <c r="C86" s="181">
        <f>'Material de apoio'!M102</f>
        <v>10.53</v>
      </c>
      <c r="D86" s="182">
        <v>2</v>
      </c>
      <c r="E86" s="63">
        <v>1</v>
      </c>
      <c r="F86" s="48">
        <f t="shared" si="6"/>
        <v>21.06</v>
      </c>
    </row>
    <row r="87" spans="1:6">
      <c r="A87" s="46">
        <v>11</v>
      </c>
      <c r="B87" s="47" t="s">
        <v>512</v>
      </c>
      <c r="C87" s="181">
        <f>'Material de apoio'!M113</f>
        <v>93.67</v>
      </c>
      <c r="D87" s="182">
        <v>2</v>
      </c>
      <c r="E87" s="63">
        <v>30</v>
      </c>
      <c r="F87" s="48">
        <f t="shared" si="6"/>
        <v>6.2446666666666664</v>
      </c>
    </row>
    <row r="88" spans="1:6">
      <c r="A88" s="46">
        <v>12</v>
      </c>
      <c r="B88" s="47" t="s">
        <v>431</v>
      </c>
      <c r="C88" s="181">
        <f>'Material de apoio'!M123</f>
        <v>17.670000000000002</v>
      </c>
      <c r="D88" s="182">
        <v>2</v>
      </c>
      <c r="E88" s="63">
        <v>30</v>
      </c>
      <c r="F88" s="48">
        <f t="shared" si="6"/>
        <v>1.1780000000000002</v>
      </c>
    </row>
    <row r="89" spans="1:6">
      <c r="A89" s="46">
        <v>13</v>
      </c>
      <c r="B89" s="47" t="s">
        <v>441</v>
      </c>
      <c r="C89" s="181">
        <f>'Material de apoio'!M134</f>
        <v>51.23</v>
      </c>
      <c r="D89" s="182">
        <v>2</v>
      </c>
      <c r="E89" s="63">
        <v>30</v>
      </c>
      <c r="F89" s="48">
        <f t="shared" si="6"/>
        <v>3.4153333333333333</v>
      </c>
    </row>
    <row r="90" spans="1:6">
      <c r="B90" s="59" t="s">
        <v>513</v>
      </c>
      <c r="C90" s="60"/>
      <c r="D90" s="60"/>
      <c r="E90" s="60"/>
      <c r="F90" s="66">
        <f>SUM(F77:F89)</f>
        <v>175.52755555555555</v>
      </c>
    </row>
    <row r="91" spans="1:6" ht="15.75" thickBot="1">
      <c r="B91" s="64" t="s">
        <v>483</v>
      </c>
      <c r="C91" s="65"/>
      <c r="D91" s="65"/>
      <c r="E91" s="65"/>
      <c r="F91" s="67">
        <f>F90/8</f>
        <v>21.940944444444444</v>
      </c>
    </row>
    <row r="92" spans="1:6">
      <c r="C92"/>
      <c r="D92"/>
    </row>
    <row r="93" spans="1:6">
      <c r="A93" s="61"/>
      <c r="B93" s="61"/>
      <c r="C93" s="61"/>
      <c r="D93" s="61"/>
      <c r="E93" s="61"/>
      <c r="F93" s="61"/>
    </row>
    <row r="94" spans="1:6">
      <c r="A94" s="62"/>
      <c r="B94" s="62"/>
      <c r="C94" s="62"/>
      <c r="D94" s="62"/>
      <c r="E94" s="62"/>
      <c r="F94" s="62"/>
    </row>
    <row r="95" spans="1:6">
      <c r="A95" s="62"/>
      <c r="B95" s="62"/>
      <c r="C95" s="62"/>
      <c r="D95" s="62"/>
      <c r="E95" s="62"/>
      <c r="F95" s="62"/>
    </row>
  </sheetData>
  <mergeCells count="23">
    <mergeCell ref="A75:A76"/>
    <mergeCell ref="B75:B76"/>
    <mergeCell ref="B32:D32"/>
    <mergeCell ref="A35:E35"/>
    <mergeCell ref="B42:D42"/>
    <mergeCell ref="B43:D43"/>
    <mergeCell ref="A48:E48"/>
    <mergeCell ref="B55:D55"/>
    <mergeCell ref="A36:A37"/>
    <mergeCell ref="B36:B37"/>
    <mergeCell ref="A49:A50"/>
    <mergeCell ref="B49:B50"/>
    <mergeCell ref="B56:D56"/>
    <mergeCell ref="A59:F59"/>
    <mergeCell ref="A74:F74"/>
    <mergeCell ref="A60:A61"/>
    <mergeCell ref="B60:B61"/>
    <mergeCell ref="B31:D31"/>
    <mergeCell ref="A2:G2"/>
    <mergeCell ref="A3:E3"/>
    <mergeCell ref="B14:D14"/>
    <mergeCell ref="B15:D15"/>
    <mergeCell ref="A18:E18"/>
  </mergeCells>
  <phoneticPr fontId="3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8A912-EBEB-4448-B96E-F5760511E7DD}">
  <dimension ref="A1:T163"/>
  <sheetViews>
    <sheetView workbookViewId="0">
      <selection activeCell="A2" sqref="A2:I2"/>
    </sheetView>
  </sheetViews>
  <sheetFormatPr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2" max="12" width="115" customWidth="1"/>
  </cols>
  <sheetData>
    <row r="1" spans="1:9" ht="42" customHeight="1">
      <c r="A1" s="190"/>
      <c r="B1" s="505" t="s">
        <v>535</v>
      </c>
      <c r="C1" s="506"/>
      <c r="D1" s="506"/>
      <c r="E1" s="506"/>
      <c r="F1" s="506"/>
      <c r="G1" s="506"/>
      <c r="H1" s="506"/>
      <c r="I1" s="506"/>
    </row>
    <row r="2" spans="1:9">
      <c r="A2" s="429"/>
      <c r="B2" s="429"/>
      <c r="C2" s="429"/>
      <c r="D2" s="429"/>
      <c r="E2" s="429"/>
      <c r="F2" s="429"/>
      <c r="G2" s="429"/>
      <c r="H2" s="429"/>
      <c r="I2" s="429"/>
    </row>
    <row r="3" spans="1:9">
      <c r="A3" s="507" t="s">
        <v>536</v>
      </c>
      <c r="B3" s="507"/>
      <c r="C3" s="507"/>
      <c r="D3" s="507"/>
      <c r="E3" s="507"/>
      <c r="F3" s="507"/>
      <c r="G3" s="507"/>
      <c r="H3" s="507"/>
      <c r="I3" s="507"/>
    </row>
    <row r="4" spans="1:9">
      <c r="A4" s="508" t="s">
        <v>537</v>
      </c>
      <c r="B4" s="508"/>
      <c r="C4" s="508"/>
      <c r="D4" s="508"/>
      <c r="E4" s="508"/>
      <c r="F4" s="508"/>
      <c r="G4" s="508"/>
      <c r="H4" s="508"/>
      <c r="I4" s="508"/>
    </row>
    <row r="5" spans="1:9">
      <c r="A5" s="508" t="s">
        <v>538</v>
      </c>
      <c r="B5" s="508"/>
      <c r="C5" s="508"/>
      <c r="D5" s="508"/>
      <c r="E5" s="508"/>
      <c r="F5" s="508"/>
      <c r="G5" s="508"/>
      <c r="H5" s="508"/>
      <c r="I5" s="508"/>
    </row>
    <row r="6" spans="1:9">
      <c r="A6" s="509" t="s">
        <v>539</v>
      </c>
      <c r="B6" s="509"/>
      <c r="C6" s="509"/>
      <c r="D6" s="509"/>
      <c r="E6" s="509"/>
      <c r="F6" s="509"/>
      <c r="G6" s="509"/>
      <c r="H6" s="509"/>
      <c r="I6" s="509"/>
    </row>
    <row r="7" spans="1:9">
      <c r="A7" s="429"/>
      <c r="B7" s="429"/>
      <c r="C7" s="429"/>
      <c r="D7" s="429"/>
      <c r="E7" s="429"/>
      <c r="F7" s="429"/>
      <c r="G7" s="429"/>
      <c r="H7" s="429"/>
      <c r="I7" s="429"/>
    </row>
    <row r="8" spans="1:9">
      <c r="A8" s="503" t="s">
        <v>540</v>
      </c>
      <c r="B8" s="503"/>
      <c r="C8" s="503"/>
      <c r="D8" s="503"/>
      <c r="E8" s="503"/>
      <c r="F8" s="503"/>
      <c r="G8" s="503"/>
      <c r="H8" s="503"/>
      <c r="I8" s="503"/>
    </row>
    <row r="9" spans="1:9">
      <c r="A9" s="504"/>
      <c r="B9" s="504"/>
      <c r="C9" s="504"/>
      <c r="D9" s="504"/>
      <c r="E9" s="504"/>
      <c r="F9" s="504"/>
      <c r="G9" s="504"/>
      <c r="H9" s="504"/>
      <c r="I9" s="504"/>
    </row>
    <row r="10" spans="1:9">
      <c r="A10" s="467" t="s">
        <v>541</v>
      </c>
      <c r="B10" s="467"/>
      <c r="C10" s="467"/>
      <c r="D10" s="467"/>
      <c r="E10" s="467"/>
      <c r="F10" s="467"/>
      <c r="G10" s="467"/>
      <c r="H10" s="467"/>
      <c r="I10" s="467"/>
    </row>
    <row r="11" spans="1:9">
      <c r="A11" s="193" t="s">
        <v>542</v>
      </c>
      <c r="B11" s="461" t="s">
        <v>543</v>
      </c>
      <c r="C11" s="461"/>
      <c r="D11" s="461"/>
      <c r="E11" s="461"/>
      <c r="F11" s="461"/>
      <c r="G11" s="461"/>
      <c r="H11" s="501"/>
      <c r="I11" s="450"/>
    </row>
    <row r="12" spans="1:9">
      <c r="A12" s="193" t="s">
        <v>544</v>
      </c>
      <c r="B12" s="461" t="s">
        <v>545</v>
      </c>
      <c r="C12" s="461"/>
      <c r="D12" s="461"/>
      <c r="E12" s="461"/>
      <c r="F12" s="461"/>
      <c r="G12" s="461"/>
      <c r="H12" s="450" t="s">
        <v>546</v>
      </c>
      <c r="I12" s="450"/>
    </row>
    <row r="13" spans="1:9">
      <c r="A13" s="193" t="s">
        <v>547</v>
      </c>
      <c r="B13" s="461" t="s">
        <v>548</v>
      </c>
      <c r="C13" s="461"/>
      <c r="D13" s="461"/>
      <c r="E13" s="461"/>
      <c r="F13" s="461"/>
      <c r="G13" s="461"/>
      <c r="H13" s="510" t="s">
        <v>549</v>
      </c>
      <c r="I13" s="450"/>
    </row>
    <row r="14" spans="1:9">
      <c r="A14" s="193" t="s">
        <v>550</v>
      </c>
      <c r="B14" s="461" t="s">
        <v>551</v>
      </c>
      <c r="C14" s="461"/>
      <c r="D14" s="461"/>
      <c r="E14" s="461"/>
      <c r="F14" s="461"/>
      <c r="G14" s="461"/>
      <c r="H14" s="450">
        <v>12</v>
      </c>
      <c r="I14" s="450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67" t="s">
        <v>552</v>
      </c>
      <c r="B16" s="467"/>
      <c r="C16" s="467"/>
      <c r="D16" s="467"/>
      <c r="E16" s="467"/>
      <c r="F16" s="467"/>
      <c r="G16" s="467"/>
      <c r="H16" s="467"/>
      <c r="I16" s="467"/>
    </row>
    <row r="17" spans="1:14">
      <c r="A17" s="450" t="s">
        <v>553</v>
      </c>
      <c r="B17" s="450"/>
      <c r="C17" s="450" t="s">
        <v>554</v>
      </c>
      <c r="D17" s="450"/>
      <c r="E17" s="450" t="s">
        <v>555</v>
      </c>
      <c r="F17" s="450"/>
      <c r="G17" s="450"/>
      <c r="H17" s="450"/>
      <c r="I17" s="450"/>
      <c r="J17" s="190"/>
    </row>
    <row r="18" spans="1:14">
      <c r="A18" s="450" t="s">
        <v>556</v>
      </c>
      <c r="B18" s="450"/>
      <c r="C18" s="450" t="s">
        <v>557</v>
      </c>
      <c r="D18" s="450"/>
      <c r="E18" s="450">
        <v>2</v>
      </c>
      <c r="F18" s="450"/>
      <c r="G18" s="450"/>
      <c r="H18" s="450"/>
      <c r="I18" s="450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67" t="s">
        <v>558</v>
      </c>
      <c r="B20" s="467"/>
      <c r="C20" s="467"/>
      <c r="D20" s="467"/>
      <c r="E20" s="467"/>
      <c r="F20" s="467"/>
      <c r="G20" s="467"/>
      <c r="H20" s="467"/>
      <c r="I20" s="467"/>
      <c r="J20" s="190"/>
    </row>
    <row r="21" spans="1:14">
      <c r="A21" s="193">
        <v>1</v>
      </c>
      <c r="B21" s="461" t="s">
        <v>559</v>
      </c>
      <c r="C21" s="461"/>
      <c r="D21" s="461"/>
      <c r="E21" s="461"/>
      <c r="F21" s="461"/>
      <c r="G21" s="461"/>
      <c r="H21" s="450" t="s">
        <v>560</v>
      </c>
      <c r="I21" s="450"/>
      <c r="J21" s="190"/>
    </row>
    <row r="22" spans="1:14">
      <c r="A22" s="193">
        <v>2</v>
      </c>
      <c r="B22" s="461" t="s">
        <v>561</v>
      </c>
      <c r="C22" s="461"/>
      <c r="D22" s="461"/>
      <c r="E22" s="461"/>
      <c r="F22" s="461"/>
      <c r="G22" s="461"/>
      <c r="H22" s="450" t="s">
        <v>562</v>
      </c>
      <c r="I22" s="450"/>
      <c r="J22" s="190"/>
    </row>
    <row r="23" spans="1:14">
      <c r="A23" s="193">
        <v>3</v>
      </c>
      <c r="B23" s="461" t="s">
        <v>563</v>
      </c>
      <c r="C23" s="461"/>
      <c r="D23" s="461"/>
      <c r="E23" s="461"/>
      <c r="F23" s="461"/>
      <c r="G23" s="461"/>
      <c r="H23" s="502">
        <v>2723.41</v>
      </c>
      <c r="I23" s="450"/>
      <c r="J23" s="190"/>
    </row>
    <row r="24" spans="1:14">
      <c r="A24" s="193">
        <v>4</v>
      </c>
      <c r="B24" s="461" t="s">
        <v>564</v>
      </c>
      <c r="C24" s="461"/>
      <c r="D24" s="461"/>
      <c r="E24" s="461"/>
      <c r="F24" s="461"/>
      <c r="G24" s="461"/>
      <c r="H24" s="460" t="s">
        <v>565</v>
      </c>
      <c r="I24" s="460"/>
      <c r="J24" s="190"/>
    </row>
    <row r="25" spans="1:14">
      <c r="A25" s="193">
        <v>5</v>
      </c>
      <c r="B25" s="461" t="s">
        <v>566</v>
      </c>
      <c r="C25" s="461"/>
      <c r="D25" s="461"/>
      <c r="E25" s="461"/>
      <c r="F25" s="461"/>
      <c r="G25" s="461"/>
      <c r="H25" s="501">
        <v>45292</v>
      </c>
      <c r="I25" s="450"/>
      <c r="J25" s="190"/>
    </row>
    <row r="26" spans="1:14">
      <c r="A26" s="429"/>
      <c r="B26" s="429"/>
      <c r="C26" s="429"/>
      <c r="D26" s="429"/>
      <c r="E26" s="429"/>
      <c r="F26" s="429"/>
      <c r="G26" s="429"/>
      <c r="H26" s="429"/>
      <c r="I26" s="429"/>
      <c r="J26" s="190"/>
    </row>
    <row r="27" spans="1:14">
      <c r="A27" s="472" t="s">
        <v>567</v>
      </c>
      <c r="B27" s="472"/>
      <c r="C27" s="472"/>
      <c r="D27" s="472"/>
      <c r="E27" s="472"/>
      <c r="F27" s="472"/>
      <c r="G27" s="472"/>
      <c r="H27" s="472"/>
      <c r="I27" s="472"/>
      <c r="J27" s="190"/>
    </row>
    <row r="28" spans="1:14">
      <c r="A28" s="195">
        <v>1</v>
      </c>
      <c r="B28" s="460" t="s">
        <v>568</v>
      </c>
      <c r="C28" s="460"/>
      <c r="D28" s="460"/>
      <c r="E28" s="460"/>
      <c r="F28" s="460"/>
      <c r="G28" s="460"/>
      <c r="H28" s="195" t="s">
        <v>569</v>
      </c>
      <c r="I28" s="195" t="s">
        <v>570</v>
      </c>
      <c r="J28" s="190"/>
    </row>
    <row r="29" spans="1:14">
      <c r="A29" s="195" t="s">
        <v>542</v>
      </c>
      <c r="B29" s="461" t="s">
        <v>571</v>
      </c>
      <c r="C29" s="461"/>
      <c r="D29" s="461"/>
      <c r="E29" s="461"/>
      <c r="F29" s="461"/>
      <c r="G29" s="461"/>
      <c r="H29" s="196"/>
      <c r="I29" s="197">
        <f>H23</f>
        <v>2723.41</v>
      </c>
      <c r="J29" s="498" t="s">
        <v>572</v>
      </c>
      <c r="K29" s="499"/>
      <c r="L29" s="499"/>
      <c r="M29" s="499"/>
      <c r="N29" s="500"/>
    </row>
    <row r="30" spans="1:14">
      <c r="A30" s="195" t="s">
        <v>544</v>
      </c>
      <c r="B30" s="461" t="s">
        <v>573</v>
      </c>
      <c r="C30" s="461"/>
      <c r="D30" s="461"/>
      <c r="E30" s="461"/>
      <c r="F30" s="461"/>
      <c r="G30" s="461"/>
      <c r="H30" s="198">
        <v>0.3</v>
      </c>
      <c r="I30" s="197">
        <f>TRUNC(I29*H30,2)</f>
        <v>817.02</v>
      </c>
      <c r="J30" s="498" t="s">
        <v>574</v>
      </c>
      <c r="K30" s="499"/>
      <c r="L30" s="499"/>
      <c r="M30" s="499"/>
      <c r="N30" s="500"/>
    </row>
    <row r="31" spans="1:14">
      <c r="A31" s="195" t="s">
        <v>547</v>
      </c>
      <c r="B31" s="461" t="s">
        <v>575</v>
      </c>
      <c r="C31" s="461"/>
      <c r="D31" s="461"/>
      <c r="E31" s="461"/>
      <c r="F31" s="461"/>
      <c r="G31" s="461"/>
      <c r="H31" s="198"/>
      <c r="I31" s="197">
        <v>0</v>
      </c>
      <c r="J31" s="190"/>
    </row>
    <row r="32" spans="1:14">
      <c r="A32" s="195" t="s">
        <v>550</v>
      </c>
      <c r="B32" s="461" t="s">
        <v>576</v>
      </c>
      <c r="C32" s="461"/>
      <c r="D32" s="461"/>
      <c r="E32" s="461"/>
      <c r="F32" s="461"/>
      <c r="G32" s="461"/>
      <c r="H32" s="198"/>
      <c r="I32" s="197">
        <f>TRUNC(((I29+I30)*H32*(7/12)),2)</f>
        <v>0</v>
      </c>
      <c r="J32" s="190"/>
    </row>
    <row r="33" spans="1:14">
      <c r="A33" s="195" t="s">
        <v>577</v>
      </c>
      <c r="B33" s="461" t="s">
        <v>578</v>
      </c>
      <c r="C33" s="461"/>
      <c r="D33" s="461"/>
      <c r="E33" s="461"/>
      <c r="F33" s="461"/>
      <c r="G33" s="461"/>
      <c r="H33" s="199"/>
      <c r="I33" s="197">
        <f>TRUNC((I29+I30)*H33*(1/12),2)</f>
        <v>0</v>
      </c>
      <c r="J33" s="190"/>
    </row>
    <row r="34" spans="1:14">
      <c r="A34" s="195" t="s">
        <v>579</v>
      </c>
      <c r="B34" s="461" t="s">
        <v>580</v>
      </c>
      <c r="C34" s="461"/>
      <c r="D34" s="461"/>
      <c r="E34" s="461"/>
      <c r="F34" s="461"/>
      <c r="G34" s="461"/>
      <c r="H34" s="198"/>
      <c r="I34" s="197">
        <v>0</v>
      </c>
      <c r="J34" s="190"/>
    </row>
    <row r="35" spans="1:14">
      <c r="A35" s="460" t="s">
        <v>581</v>
      </c>
      <c r="B35" s="460"/>
      <c r="C35" s="460"/>
      <c r="D35" s="460"/>
      <c r="E35" s="460"/>
      <c r="F35" s="460"/>
      <c r="G35" s="460"/>
      <c r="H35" s="460"/>
      <c r="I35" s="200">
        <f>SUM(I29:I34)</f>
        <v>3540.43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72" t="s">
        <v>582</v>
      </c>
      <c r="B37" s="472"/>
      <c r="C37" s="472"/>
      <c r="D37" s="472"/>
      <c r="E37" s="472"/>
      <c r="F37" s="472"/>
      <c r="G37" s="472"/>
      <c r="H37" s="472"/>
      <c r="I37" s="472"/>
      <c r="J37" s="202"/>
      <c r="L37" s="203"/>
    </row>
    <row r="38" spans="1:14">
      <c r="A38" s="460" t="s">
        <v>583</v>
      </c>
      <c r="B38" s="460"/>
      <c r="C38" s="460"/>
      <c r="D38" s="460"/>
      <c r="E38" s="460"/>
      <c r="F38" s="460"/>
      <c r="G38" s="460"/>
      <c r="H38" s="195" t="s">
        <v>569</v>
      </c>
      <c r="I38" s="195" t="s">
        <v>570</v>
      </c>
      <c r="J38" s="202"/>
    </row>
    <row r="39" spans="1:14">
      <c r="A39" s="195" t="s">
        <v>542</v>
      </c>
      <c r="B39" s="461" t="s">
        <v>584</v>
      </c>
      <c r="C39" s="461"/>
      <c r="D39" s="461"/>
      <c r="E39" s="461"/>
      <c r="F39" s="461"/>
      <c r="G39" s="461"/>
      <c r="H39" s="204">
        <f>1/12</f>
        <v>8.3333333333333329E-2</v>
      </c>
      <c r="I39" s="197">
        <f>TRUNC(I35*H39,2)</f>
        <v>295.02999999999997</v>
      </c>
      <c r="J39" s="490" t="s">
        <v>585</v>
      </c>
      <c r="K39" s="491"/>
      <c r="L39" s="491"/>
      <c r="M39" s="491"/>
      <c r="N39" s="492"/>
    </row>
    <row r="40" spans="1:14">
      <c r="A40" s="195" t="s">
        <v>544</v>
      </c>
      <c r="B40" s="461" t="s">
        <v>586</v>
      </c>
      <c r="C40" s="461"/>
      <c r="D40" s="461"/>
      <c r="E40" s="461"/>
      <c r="F40" s="461"/>
      <c r="G40" s="461"/>
      <c r="H40" s="205">
        <v>0.121</v>
      </c>
      <c r="I40" s="197">
        <f>TRUNC(I35*H40,2)</f>
        <v>428.39</v>
      </c>
      <c r="J40" s="490" t="s">
        <v>587</v>
      </c>
      <c r="K40" s="491"/>
      <c r="L40" s="491"/>
      <c r="M40" s="491"/>
      <c r="N40" s="492"/>
    </row>
    <row r="41" spans="1:14">
      <c r="A41" s="460" t="s">
        <v>588</v>
      </c>
      <c r="B41" s="460"/>
      <c r="C41" s="460"/>
      <c r="D41" s="460"/>
      <c r="E41" s="460"/>
      <c r="F41" s="460"/>
      <c r="G41" s="460"/>
      <c r="H41" s="206">
        <v>0.20430000000000001</v>
      </c>
      <c r="I41" s="200">
        <f>SUM(I39:I40)</f>
        <v>723.42</v>
      </c>
      <c r="J41" s="202"/>
    </row>
    <row r="42" spans="1:14">
      <c r="A42" s="496"/>
      <c r="B42" s="497"/>
      <c r="C42" s="497"/>
      <c r="D42" s="497"/>
      <c r="E42" s="497"/>
      <c r="F42" s="497"/>
      <c r="G42" s="497"/>
      <c r="H42" s="497"/>
      <c r="I42" s="497"/>
      <c r="J42" s="190"/>
    </row>
    <row r="43" spans="1:14">
      <c r="A43" s="460" t="s">
        <v>589</v>
      </c>
      <c r="B43" s="460"/>
      <c r="C43" s="460"/>
      <c r="D43" s="460"/>
      <c r="E43" s="460"/>
      <c r="F43" s="460"/>
      <c r="G43" s="460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61" t="s">
        <v>590</v>
      </c>
      <c r="C44" s="461"/>
      <c r="D44" s="461"/>
      <c r="E44" s="461"/>
      <c r="F44" s="461"/>
      <c r="G44" s="461"/>
      <c r="H44" s="204">
        <v>0.2</v>
      </c>
      <c r="I44" s="197">
        <f>TRUNC(($I$35+$I$41)*H44,2)</f>
        <v>852.77</v>
      </c>
      <c r="J44" s="490" t="s">
        <v>591</v>
      </c>
      <c r="K44" s="491"/>
      <c r="L44" s="491"/>
      <c r="M44" s="491"/>
      <c r="N44" s="492"/>
    </row>
    <row r="45" spans="1:14">
      <c r="A45" s="195" t="s">
        <v>544</v>
      </c>
      <c r="B45" s="461" t="s">
        <v>592</v>
      </c>
      <c r="C45" s="461"/>
      <c r="D45" s="461"/>
      <c r="E45" s="461"/>
      <c r="F45" s="461"/>
      <c r="G45" s="461"/>
      <c r="H45" s="204">
        <v>2.5000000000000001E-2</v>
      </c>
      <c r="I45" s="197">
        <f t="shared" ref="I45:I51" si="0">TRUNC(($I$35+$I$41)*H45,2)</f>
        <v>106.59</v>
      </c>
      <c r="J45" s="490" t="s">
        <v>593</v>
      </c>
      <c r="K45" s="491"/>
      <c r="L45" s="491"/>
      <c r="M45" s="491"/>
      <c r="N45" s="492"/>
    </row>
    <row r="46" spans="1:14">
      <c r="A46" s="195" t="s">
        <v>547</v>
      </c>
      <c r="B46" s="461" t="s">
        <v>594</v>
      </c>
      <c r="C46" s="461"/>
      <c r="D46" s="461"/>
      <c r="E46" s="461"/>
      <c r="F46" s="461"/>
      <c r="G46" s="461"/>
      <c r="H46" s="204">
        <v>0.03</v>
      </c>
      <c r="I46" s="197">
        <f t="shared" si="0"/>
        <v>127.91</v>
      </c>
      <c r="J46" s="493" t="s">
        <v>595</v>
      </c>
      <c r="K46" s="494"/>
      <c r="L46" s="494"/>
      <c r="M46" s="494"/>
      <c r="N46" s="495"/>
    </row>
    <row r="47" spans="1:14">
      <c r="A47" s="195" t="s">
        <v>550</v>
      </c>
      <c r="B47" s="461" t="s">
        <v>596</v>
      </c>
      <c r="C47" s="461"/>
      <c r="D47" s="461"/>
      <c r="E47" s="461"/>
      <c r="F47" s="461"/>
      <c r="G47" s="461"/>
      <c r="H47" s="204">
        <v>1.4999999999999999E-2</v>
      </c>
      <c r="I47" s="197">
        <f t="shared" si="0"/>
        <v>63.95</v>
      </c>
      <c r="J47" s="490" t="s">
        <v>597</v>
      </c>
      <c r="K47" s="491"/>
      <c r="L47" s="491"/>
      <c r="M47" s="491"/>
      <c r="N47" s="492"/>
    </row>
    <row r="48" spans="1:14">
      <c r="A48" s="195" t="s">
        <v>577</v>
      </c>
      <c r="B48" s="461" t="s">
        <v>598</v>
      </c>
      <c r="C48" s="461"/>
      <c r="D48" s="461"/>
      <c r="E48" s="461"/>
      <c r="F48" s="461"/>
      <c r="G48" s="461"/>
      <c r="H48" s="204">
        <v>0.01</v>
      </c>
      <c r="I48" s="197">
        <f t="shared" si="0"/>
        <v>42.63</v>
      </c>
      <c r="J48" s="490" t="s">
        <v>599</v>
      </c>
      <c r="K48" s="491"/>
      <c r="L48" s="491"/>
      <c r="M48" s="491"/>
      <c r="N48" s="492"/>
    </row>
    <row r="49" spans="1:20">
      <c r="A49" s="195" t="s">
        <v>579</v>
      </c>
      <c r="B49" s="461" t="s">
        <v>600</v>
      </c>
      <c r="C49" s="461"/>
      <c r="D49" s="461"/>
      <c r="E49" s="461"/>
      <c r="F49" s="461"/>
      <c r="G49" s="461"/>
      <c r="H49" s="204">
        <v>6.0000000000000001E-3</v>
      </c>
      <c r="I49" s="197">
        <f t="shared" si="0"/>
        <v>25.58</v>
      </c>
      <c r="J49" s="490" t="s">
        <v>601</v>
      </c>
      <c r="K49" s="491"/>
      <c r="L49" s="491"/>
      <c r="M49" s="491"/>
      <c r="N49" s="492"/>
    </row>
    <row r="50" spans="1:20">
      <c r="A50" s="195" t="s">
        <v>602</v>
      </c>
      <c r="B50" s="461" t="s">
        <v>603</v>
      </c>
      <c r="C50" s="461"/>
      <c r="D50" s="461"/>
      <c r="E50" s="461"/>
      <c r="F50" s="461"/>
      <c r="G50" s="461"/>
      <c r="H50" s="204">
        <v>2E-3</v>
      </c>
      <c r="I50" s="197">
        <f t="shared" si="0"/>
        <v>8.52</v>
      </c>
      <c r="J50" s="490" t="s">
        <v>604</v>
      </c>
      <c r="K50" s="491"/>
      <c r="L50" s="491"/>
      <c r="M50" s="491"/>
      <c r="N50" s="492"/>
    </row>
    <row r="51" spans="1:20">
      <c r="A51" s="195" t="s">
        <v>605</v>
      </c>
      <c r="B51" s="461" t="s">
        <v>606</v>
      </c>
      <c r="C51" s="461"/>
      <c r="D51" s="461"/>
      <c r="E51" s="461"/>
      <c r="F51" s="461"/>
      <c r="G51" s="461"/>
      <c r="H51" s="204">
        <v>0.08</v>
      </c>
      <c r="I51" s="197">
        <f t="shared" si="0"/>
        <v>341.1</v>
      </c>
      <c r="J51" s="490" t="s">
        <v>607</v>
      </c>
      <c r="K51" s="491"/>
      <c r="L51" s="491"/>
      <c r="M51" s="491"/>
      <c r="N51" s="492"/>
    </row>
    <row r="52" spans="1:20">
      <c r="A52" s="460" t="s">
        <v>608</v>
      </c>
      <c r="B52" s="460"/>
      <c r="C52" s="460"/>
      <c r="D52" s="460"/>
      <c r="E52" s="460"/>
      <c r="F52" s="460"/>
      <c r="G52" s="460"/>
      <c r="H52" s="206">
        <v>0.36800000000000005</v>
      </c>
      <c r="I52" s="200">
        <f>SUM(I44:I51)</f>
        <v>1569.0500000000002</v>
      </c>
      <c r="J52" s="202"/>
    </row>
    <row r="53" spans="1:20">
      <c r="A53" s="485"/>
      <c r="B53" s="485"/>
      <c r="C53" s="485"/>
      <c r="D53" s="485"/>
      <c r="E53" s="485"/>
      <c r="F53" s="485"/>
      <c r="G53" s="485"/>
      <c r="H53" s="485"/>
      <c r="I53" s="486"/>
      <c r="J53" s="202"/>
    </row>
    <row r="54" spans="1:20">
      <c r="A54" s="460" t="s">
        <v>609</v>
      </c>
      <c r="B54" s="460"/>
      <c r="C54" s="460"/>
      <c r="D54" s="460"/>
      <c r="E54" s="460"/>
      <c r="F54" s="460"/>
      <c r="G54" s="460"/>
      <c r="H54" s="206"/>
      <c r="I54" s="195" t="s">
        <v>570</v>
      </c>
      <c r="J54" s="202"/>
    </row>
    <row r="55" spans="1:20">
      <c r="A55" s="195" t="s">
        <v>542</v>
      </c>
      <c r="B55" s="473" t="s">
        <v>610</v>
      </c>
      <c r="C55" s="473"/>
      <c r="D55" s="473"/>
      <c r="E55" s="473"/>
      <c r="F55" s="473"/>
      <c r="G55" s="473"/>
      <c r="H55" s="193" t="s">
        <v>534</v>
      </c>
      <c r="I55" s="209">
        <f>TRUNC((5.5*2*15),2)</f>
        <v>165</v>
      </c>
      <c r="J55" s="487" t="s">
        <v>611</v>
      </c>
      <c r="K55" s="488"/>
      <c r="L55" s="488"/>
      <c r="M55" s="488"/>
      <c r="N55" s="489"/>
    </row>
    <row r="56" spans="1:20">
      <c r="A56" s="195" t="s">
        <v>544</v>
      </c>
      <c r="B56" s="473" t="s">
        <v>612</v>
      </c>
      <c r="C56" s="473"/>
      <c r="D56" s="473"/>
      <c r="E56" s="473"/>
      <c r="F56" s="473"/>
      <c r="G56" s="473"/>
      <c r="H56" s="193" t="s">
        <v>534</v>
      </c>
      <c r="I56" s="209">
        <f>TRUNC(((47.37-0.94)*15),2)</f>
        <v>696.45</v>
      </c>
      <c r="J56" s="479" t="s">
        <v>613</v>
      </c>
      <c r="K56" s="480"/>
      <c r="L56" s="480"/>
      <c r="M56" s="480"/>
      <c r="N56" s="481"/>
    </row>
    <row r="57" spans="1:20" ht="22.5" customHeight="1">
      <c r="A57" s="195" t="s">
        <v>547</v>
      </c>
      <c r="B57" s="473" t="s">
        <v>614</v>
      </c>
      <c r="C57" s="473"/>
      <c r="D57" s="473"/>
      <c r="E57" s="473"/>
      <c r="F57" s="473"/>
      <c r="G57" s="473"/>
      <c r="H57" s="193" t="s">
        <v>534</v>
      </c>
      <c r="I57" s="209">
        <v>0</v>
      </c>
      <c r="J57" s="479" t="s">
        <v>615</v>
      </c>
      <c r="K57" s="480"/>
      <c r="L57" s="480"/>
      <c r="M57" s="480"/>
      <c r="N57" s="481"/>
      <c r="T57" t="s">
        <v>616</v>
      </c>
    </row>
    <row r="58" spans="1:20">
      <c r="A58" s="195" t="s">
        <v>550</v>
      </c>
      <c r="B58" s="473" t="s">
        <v>617</v>
      </c>
      <c r="C58" s="473"/>
      <c r="D58" s="473"/>
      <c r="E58" s="473"/>
      <c r="F58" s="473"/>
      <c r="G58" s="473"/>
      <c r="H58" s="193" t="s">
        <v>534</v>
      </c>
      <c r="I58" s="209">
        <f>'Seguro de Vida'!M9</f>
        <v>11.91</v>
      </c>
      <c r="J58" s="479" t="s">
        <v>618</v>
      </c>
      <c r="K58" s="480"/>
      <c r="L58" s="480"/>
      <c r="M58" s="480"/>
      <c r="N58" s="481"/>
    </row>
    <row r="59" spans="1:20">
      <c r="A59" s="195" t="s">
        <v>577</v>
      </c>
      <c r="B59" s="482" t="s">
        <v>619</v>
      </c>
      <c r="C59" s="483"/>
      <c r="D59" s="483"/>
      <c r="E59" s="483"/>
      <c r="F59" s="483"/>
      <c r="G59" s="484"/>
      <c r="H59" s="193" t="s">
        <v>534</v>
      </c>
      <c r="I59" s="209">
        <v>0</v>
      </c>
      <c r="J59" s="479" t="s">
        <v>620</v>
      </c>
      <c r="K59" s="480"/>
      <c r="L59" s="480"/>
      <c r="M59" s="480"/>
      <c r="N59" s="481"/>
    </row>
    <row r="60" spans="1:20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20">
      <c r="A61" s="460" t="s">
        <v>622</v>
      </c>
      <c r="B61" s="460"/>
      <c r="C61" s="460"/>
      <c r="D61" s="460"/>
      <c r="E61" s="460"/>
      <c r="F61" s="460"/>
      <c r="G61" s="460"/>
      <c r="H61" s="460"/>
      <c r="I61" s="200">
        <f>SUM(I55:I60)</f>
        <v>994.06000000000006</v>
      </c>
      <c r="J61" s="202"/>
    </row>
    <row r="62" spans="1:20">
      <c r="A62" s="485"/>
      <c r="B62" s="485"/>
      <c r="C62" s="485"/>
      <c r="D62" s="485"/>
      <c r="E62" s="485"/>
      <c r="F62" s="485"/>
      <c r="G62" s="485"/>
      <c r="H62" s="485"/>
      <c r="I62" s="486"/>
      <c r="J62" s="202"/>
    </row>
    <row r="63" spans="1:20">
      <c r="A63" s="467" t="s">
        <v>623</v>
      </c>
      <c r="B63" s="467"/>
      <c r="C63" s="467"/>
      <c r="D63" s="467"/>
      <c r="E63" s="467"/>
      <c r="F63" s="467"/>
      <c r="G63" s="467"/>
      <c r="H63" s="467"/>
      <c r="I63" s="467"/>
      <c r="J63" s="202"/>
    </row>
    <row r="64" spans="1:20">
      <c r="A64" s="460" t="s">
        <v>624</v>
      </c>
      <c r="B64" s="460"/>
      <c r="C64" s="460"/>
      <c r="D64" s="460"/>
      <c r="E64" s="460"/>
      <c r="F64" s="460"/>
      <c r="G64" s="460"/>
      <c r="H64" s="460"/>
      <c r="I64" s="195" t="s">
        <v>570</v>
      </c>
      <c r="J64" s="202"/>
    </row>
    <row r="65" spans="1:10">
      <c r="A65" s="195" t="s">
        <v>625</v>
      </c>
      <c r="B65" s="461" t="s">
        <v>626</v>
      </c>
      <c r="C65" s="461"/>
      <c r="D65" s="461"/>
      <c r="E65" s="461"/>
      <c r="F65" s="461"/>
      <c r="G65" s="461"/>
      <c r="H65" s="461"/>
      <c r="I65" s="197">
        <f>I41</f>
        <v>723.42</v>
      </c>
      <c r="J65" s="202"/>
    </row>
    <row r="66" spans="1:10">
      <c r="A66" s="195" t="s">
        <v>627</v>
      </c>
      <c r="B66" s="461" t="s">
        <v>628</v>
      </c>
      <c r="C66" s="461"/>
      <c r="D66" s="461"/>
      <c r="E66" s="461"/>
      <c r="F66" s="461"/>
      <c r="G66" s="461"/>
      <c r="H66" s="461"/>
      <c r="I66" s="197">
        <f>I52</f>
        <v>1569.0500000000002</v>
      </c>
      <c r="J66" s="202"/>
    </row>
    <row r="67" spans="1:10">
      <c r="A67" s="195" t="s">
        <v>629</v>
      </c>
      <c r="B67" s="461" t="s">
        <v>630</v>
      </c>
      <c r="C67" s="461"/>
      <c r="D67" s="461"/>
      <c r="E67" s="461"/>
      <c r="F67" s="461"/>
      <c r="G67" s="461"/>
      <c r="H67" s="461"/>
      <c r="I67" s="197">
        <f>I61</f>
        <v>994.06000000000006</v>
      </c>
      <c r="J67" s="202"/>
    </row>
    <row r="68" spans="1:10">
      <c r="A68" s="460" t="s">
        <v>631</v>
      </c>
      <c r="B68" s="460"/>
      <c r="C68" s="460"/>
      <c r="D68" s="460"/>
      <c r="E68" s="460"/>
      <c r="F68" s="460"/>
      <c r="G68" s="460"/>
      <c r="H68" s="460"/>
      <c r="I68" s="200">
        <f>SUM(I65:I67)</f>
        <v>3286.53</v>
      </c>
      <c r="J68" s="202"/>
    </row>
    <row r="69" spans="1:10">
      <c r="A69" s="470"/>
      <c r="B69" s="471"/>
      <c r="C69" s="471"/>
      <c r="D69" s="471"/>
      <c r="E69" s="471"/>
      <c r="F69" s="471"/>
      <c r="G69" s="471"/>
      <c r="H69" s="471"/>
      <c r="I69" s="471"/>
      <c r="J69" s="202"/>
    </row>
    <row r="70" spans="1:10">
      <c r="A70" s="472" t="s">
        <v>632</v>
      </c>
      <c r="B70" s="472"/>
      <c r="C70" s="472"/>
      <c r="D70" s="472"/>
      <c r="E70" s="472"/>
      <c r="F70" s="472"/>
      <c r="G70" s="472"/>
      <c r="H70" s="472"/>
      <c r="I70" s="472"/>
      <c r="J70" s="202"/>
    </row>
    <row r="71" spans="1:10">
      <c r="A71" s="195">
        <v>3</v>
      </c>
      <c r="B71" s="460" t="s">
        <v>633</v>
      </c>
      <c r="C71" s="460"/>
      <c r="D71" s="460"/>
      <c r="E71" s="460"/>
      <c r="F71" s="460"/>
      <c r="G71" s="460"/>
      <c r="H71" s="195" t="s">
        <v>569</v>
      </c>
      <c r="I71" s="195" t="s">
        <v>570</v>
      </c>
      <c r="J71" s="202"/>
    </row>
    <row r="72" spans="1:10">
      <c r="A72" s="195" t="s">
        <v>542</v>
      </c>
      <c r="B72" s="461" t="s">
        <v>634</v>
      </c>
      <c r="C72" s="461"/>
      <c r="D72" s="461"/>
      <c r="E72" s="461"/>
      <c r="F72" s="461"/>
      <c r="G72" s="461"/>
      <c r="H72" s="204">
        <f>(1/12)*5.5%</f>
        <v>4.5833333333333334E-3</v>
      </c>
      <c r="I72" s="197">
        <f>TRUNC(H72*$I$35,2)</f>
        <v>16.22</v>
      </c>
      <c r="J72" s="202"/>
    </row>
    <row r="73" spans="1:10">
      <c r="A73" s="195" t="s">
        <v>544</v>
      </c>
      <c r="B73" s="461" t="s">
        <v>635</v>
      </c>
      <c r="C73" s="461"/>
      <c r="D73" s="461"/>
      <c r="E73" s="461"/>
      <c r="F73" s="461"/>
      <c r="G73" s="461"/>
      <c r="H73" s="204">
        <f>H51*H72</f>
        <v>3.6666666666666667E-4</v>
      </c>
      <c r="I73" s="197">
        <f>TRUNC(H73*$I$35,2)</f>
        <v>1.29</v>
      </c>
      <c r="J73" s="202"/>
    </row>
    <row r="74" spans="1:10">
      <c r="A74" s="195" t="s">
        <v>547</v>
      </c>
      <c r="B74" s="461" t="s">
        <v>636</v>
      </c>
      <c r="C74" s="461"/>
      <c r="D74" s="461"/>
      <c r="E74" s="461"/>
      <c r="F74" s="461"/>
      <c r="G74" s="461"/>
      <c r="H74" s="204">
        <f>((7/30)/12)</f>
        <v>1.9444444444444445E-2</v>
      </c>
      <c r="I74" s="197">
        <f>TRUNC(H74*$I$35,2)</f>
        <v>68.84</v>
      </c>
      <c r="J74" s="202"/>
    </row>
    <row r="75" spans="1:10">
      <c r="A75" s="195" t="s">
        <v>550</v>
      </c>
      <c r="B75" s="461" t="s">
        <v>637</v>
      </c>
      <c r="C75" s="461"/>
      <c r="D75" s="461"/>
      <c r="E75" s="461"/>
      <c r="F75" s="461"/>
      <c r="G75" s="461"/>
      <c r="H75" s="205">
        <f>H52*H74</f>
        <v>7.1555555555555565E-3</v>
      </c>
      <c r="I75" s="197">
        <f>TRUNC(H75*$I$35,2)</f>
        <v>25.33</v>
      </c>
      <c r="J75" s="202"/>
    </row>
    <row r="76" spans="1:10" ht="24.75" customHeight="1">
      <c r="A76" s="195" t="s">
        <v>577</v>
      </c>
      <c r="B76" s="425" t="s">
        <v>638</v>
      </c>
      <c r="C76" s="425"/>
      <c r="D76" s="425"/>
      <c r="E76" s="425"/>
      <c r="F76" s="425"/>
      <c r="G76" s="425"/>
      <c r="H76" s="204">
        <v>0.04</v>
      </c>
      <c r="I76" s="197">
        <f>TRUNC(H76*$I$35,2)</f>
        <v>141.61000000000001</v>
      </c>
      <c r="J76" s="202"/>
    </row>
    <row r="77" spans="1:10">
      <c r="A77" s="460" t="s">
        <v>639</v>
      </c>
      <c r="B77" s="460"/>
      <c r="C77" s="460"/>
      <c r="D77" s="460"/>
      <c r="E77" s="460"/>
      <c r="F77" s="460"/>
      <c r="G77" s="460"/>
      <c r="H77" s="206">
        <v>8.1000000000000003E-2</v>
      </c>
      <c r="I77" s="200">
        <f>SUM(I72:I76)</f>
        <v>253.29000000000002</v>
      </c>
      <c r="J77" s="202"/>
    </row>
    <row r="78" spans="1:10">
      <c r="A78" s="443"/>
      <c r="B78" s="478"/>
      <c r="C78" s="478"/>
      <c r="D78" s="478"/>
      <c r="E78" s="478"/>
      <c r="F78" s="478"/>
      <c r="G78" s="478"/>
      <c r="H78" s="478"/>
      <c r="I78" s="478"/>
      <c r="J78" s="202"/>
    </row>
    <row r="79" spans="1:10">
      <c r="A79" s="472" t="s">
        <v>640</v>
      </c>
      <c r="B79" s="472"/>
      <c r="C79" s="472"/>
      <c r="D79" s="472"/>
      <c r="E79" s="472"/>
      <c r="F79" s="472"/>
      <c r="G79" s="472"/>
      <c r="H79" s="472"/>
      <c r="I79" s="472"/>
      <c r="J79" s="202"/>
    </row>
    <row r="80" spans="1:10">
      <c r="A80" s="460" t="s">
        <v>641</v>
      </c>
      <c r="B80" s="460"/>
      <c r="C80" s="460"/>
      <c r="D80" s="460"/>
      <c r="E80" s="460"/>
      <c r="F80" s="460"/>
      <c r="G80" s="460"/>
      <c r="H80" s="195" t="s">
        <v>569</v>
      </c>
      <c r="I80" s="195" t="s">
        <v>570</v>
      </c>
      <c r="J80" s="202"/>
    </row>
    <row r="81" spans="1:16">
      <c r="A81" s="195" t="s">
        <v>542</v>
      </c>
      <c r="B81" s="461" t="s">
        <v>642</v>
      </c>
      <c r="C81" s="461"/>
      <c r="D81" s="461"/>
      <c r="E81" s="461"/>
      <c r="F81" s="461"/>
      <c r="G81" s="461"/>
      <c r="H81" s="204">
        <v>0</v>
      </c>
      <c r="I81" s="197">
        <f>TRUNC($I$35*H81,2)</f>
        <v>0</v>
      </c>
      <c r="J81" s="202"/>
    </row>
    <row r="82" spans="1:16">
      <c r="A82" s="195" t="s">
        <v>544</v>
      </c>
      <c r="B82" s="461" t="s">
        <v>643</v>
      </c>
      <c r="C82" s="461"/>
      <c r="D82" s="461"/>
      <c r="E82" s="461"/>
      <c r="F82" s="461"/>
      <c r="G82" s="461"/>
      <c r="H82" s="204">
        <v>0</v>
      </c>
      <c r="I82" s="197">
        <f>TRUNC($I$35*H82,2)</f>
        <v>0</v>
      </c>
      <c r="J82" s="202"/>
    </row>
    <row r="83" spans="1:16">
      <c r="A83" s="195" t="s">
        <v>547</v>
      </c>
      <c r="B83" s="461" t="s">
        <v>644</v>
      </c>
      <c r="C83" s="461"/>
      <c r="D83" s="461"/>
      <c r="E83" s="461"/>
      <c r="F83" s="461"/>
      <c r="G83" s="461"/>
      <c r="H83" s="204">
        <v>0</v>
      </c>
      <c r="I83" s="197">
        <f>TRUNC($I$35*H83,2)</f>
        <v>0</v>
      </c>
      <c r="J83" s="202"/>
    </row>
    <row r="84" spans="1:16">
      <c r="A84" s="195" t="s">
        <v>550</v>
      </c>
      <c r="B84" s="461" t="s">
        <v>645</v>
      </c>
      <c r="C84" s="461"/>
      <c r="D84" s="461"/>
      <c r="E84" s="461"/>
      <c r="F84" s="461"/>
      <c r="G84" s="461"/>
      <c r="H84" s="204">
        <v>0</v>
      </c>
      <c r="I84" s="197">
        <f>TRUNC($I$35*H84,2)</f>
        <v>0</v>
      </c>
      <c r="J84" s="202"/>
      <c r="P84" s="214"/>
    </row>
    <row r="85" spans="1:16">
      <c r="A85" s="195" t="s">
        <v>577</v>
      </c>
      <c r="B85" s="461" t="s">
        <v>646</v>
      </c>
      <c r="C85" s="461"/>
      <c r="D85" s="461"/>
      <c r="E85" s="461"/>
      <c r="F85" s="461"/>
      <c r="G85" s="461"/>
      <c r="H85" s="204">
        <v>0</v>
      </c>
      <c r="I85" s="197">
        <f>TRUNC($I$35*H85,2)</f>
        <v>0</v>
      </c>
      <c r="J85" s="202"/>
    </row>
    <row r="86" spans="1:16">
      <c r="A86" s="195" t="s">
        <v>579</v>
      </c>
      <c r="B86" s="461" t="s">
        <v>647</v>
      </c>
      <c r="C86" s="461"/>
      <c r="D86" s="461"/>
      <c r="E86" s="461"/>
      <c r="F86" s="461"/>
      <c r="G86" s="461"/>
      <c r="H86" s="204">
        <v>0</v>
      </c>
      <c r="I86" s="197">
        <f>TRUNC(($I$35+$I$68+$I$77)*H86,2)</f>
        <v>0</v>
      </c>
      <c r="J86" s="202"/>
    </row>
    <row r="87" spans="1:16">
      <c r="A87" s="460" t="s">
        <v>648</v>
      </c>
      <c r="B87" s="460"/>
      <c r="C87" s="460"/>
      <c r="D87" s="460"/>
      <c r="E87" s="460"/>
      <c r="F87" s="460"/>
      <c r="G87" s="460"/>
      <c r="H87" s="206">
        <f>SUM(H81:H86)</f>
        <v>0</v>
      </c>
      <c r="I87" s="200">
        <f>SUM(I81:I86)</f>
        <v>0</v>
      </c>
      <c r="J87" s="202"/>
    </row>
    <row r="88" spans="1:16">
      <c r="A88" s="474"/>
      <c r="B88" s="475"/>
      <c r="C88" s="475"/>
      <c r="D88" s="475"/>
      <c r="E88" s="475"/>
      <c r="F88" s="475"/>
      <c r="G88" s="475"/>
      <c r="H88" s="475"/>
      <c r="I88" s="475"/>
      <c r="J88" s="202"/>
    </row>
    <row r="89" spans="1:16">
      <c r="A89" s="460" t="s">
        <v>649</v>
      </c>
      <c r="B89" s="460"/>
      <c r="C89" s="460"/>
      <c r="D89" s="460"/>
      <c r="E89" s="460"/>
      <c r="F89" s="460"/>
      <c r="G89" s="460"/>
      <c r="H89" s="195" t="s">
        <v>569</v>
      </c>
      <c r="I89" s="195" t="s">
        <v>570</v>
      </c>
      <c r="J89" s="202"/>
    </row>
    <row r="90" spans="1:16">
      <c r="A90" s="195" t="s">
        <v>542</v>
      </c>
      <c r="B90" s="425" t="s">
        <v>650</v>
      </c>
      <c r="C90" s="461"/>
      <c r="D90" s="461"/>
      <c r="E90" s="461"/>
      <c r="F90" s="461"/>
      <c r="G90" s="461"/>
      <c r="H90" s="204">
        <v>0</v>
      </c>
      <c r="I90" s="197">
        <v>0</v>
      </c>
      <c r="J90" s="202"/>
    </row>
    <row r="91" spans="1:16">
      <c r="A91" s="460" t="s">
        <v>651</v>
      </c>
      <c r="B91" s="460"/>
      <c r="C91" s="460"/>
      <c r="D91" s="460"/>
      <c r="E91" s="460"/>
      <c r="F91" s="460"/>
      <c r="G91" s="460"/>
      <c r="H91" s="206">
        <v>0</v>
      </c>
      <c r="I91" s="200">
        <v>0</v>
      </c>
      <c r="J91" s="202"/>
    </row>
    <row r="92" spans="1:16">
      <c r="A92" s="476"/>
      <c r="B92" s="477"/>
      <c r="C92" s="477"/>
      <c r="D92" s="477"/>
      <c r="E92" s="477"/>
      <c r="F92" s="477"/>
      <c r="G92" s="477"/>
      <c r="H92" s="477"/>
      <c r="I92" s="477"/>
      <c r="J92" s="202"/>
    </row>
    <row r="93" spans="1:16">
      <c r="A93" s="467" t="s">
        <v>652</v>
      </c>
      <c r="B93" s="467"/>
      <c r="C93" s="467"/>
      <c r="D93" s="467"/>
      <c r="E93" s="467"/>
      <c r="F93" s="467"/>
      <c r="G93" s="467"/>
      <c r="H93" s="467"/>
      <c r="I93" s="467"/>
      <c r="J93" s="202"/>
    </row>
    <row r="94" spans="1:16">
      <c r="A94" s="460" t="s">
        <v>653</v>
      </c>
      <c r="B94" s="460"/>
      <c r="C94" s="460"/>
      <c r="D94" s="460"/>
      <c r="E94" s="460"/>
      <c r="F94" s="460"/>
      <c r="G94" s="460"/>
      <c r="H94" s="460"/>
      <c r="I94" s="195" t="s">
        <v>570</v>
      </c>
      <c r="J94" s="202"/>
    </row>
    <row r="95" spans="1:16">
      <c r="A95" s="195" t="s">
        <v>654</v>
      </c>
      <c r="B95" s="461" t="s">
        <v>655</v>
      </c>
      <c r="C95" s="461"/>
      <c r="D95" s="461"/>
      <c r="E95" s="461"/>
      <c r="F95" s="461"/>
      <c r="G95" s="461"/>
      <c r="H95" s="461"/>
      <c r="I95" s="197">
        <f>I87</f>
        <v>0</v>
      </c>
      <c r="J95" s="202"/>
    </row>
    <row r="96" spans="1:16">
      <c r="A96" s="195" t="s">
        <v>656</v>
      </c>
      <c r="B96" s="461" t="s">
        <v>657</v>
      </c>
      <c r="C96" s="461"/>
      <c r="D96" s="461"/>
      <c r="E96" s="461"/>
      <c r="F96" s="461"/>
      <c r="G96" s="461"/>
      <c r="H96" s="461"/>
      <c r="I96" s="197">
        <f>I91</f>
        <v>0</v>
      </c>
      <c r="J96" s="202"/>
    </row>
    <row r="97" spans="1:12">
      <c r="A97" s="460" t="s">
        <v>658</v>
      </c>
      <c r="B97" s="460"/>
      <c r="C97" s="460"/>
      <c r="D97" s="460"/>
      <c r="E97" s="460"/>
      <c r="F97" s="460"/>
      <c r="G97" s="460"/>
      <c r="H97" s="460"/>
      <c r="I97" s="200">
        <f>SUM(I95:I96)</f>
        <v>0</v>
      </c>
      <c r="J97" s="202"/>
    </row>
    <row r="98" spans="1:12">
      <c r="A98" s="470"/>
      <c r="B98" s="471"/>
      <c r="C98" s="471"/>
      <c r="D98" s="471"/>
      <c r="E98" s="471"/>
      <c r="F98" s="471"/>
      <c r="G98" s="471"/>
      <c r="H98" s="471"/>
      <c r="I98" s="471"/>
      <c r="J98" s="202"/>
    </row>
    <row r="99" spans="1:12">
      <c r="A99" s="472" t="s">
        <v>659</v>
      </c>
      <c r="B99" s="472"/>
      <c r="C99" s="472"/>
      <c r="D99" s="472"/>
      <c r="E99" s="472"/>
      <c r="F99" s="472"/>
      <c r="G99" s="472"/>
      <c r="H99" s="472"/>
      <c r="I99" s="472"/>
      <c r="J99" s="202"/>
    </row>
    <row r="100" spans="1:12">
      <c r="A100" s="195">
        <v>5</v>
      </c>
      <c r="B100" s="460" t="s">
        <v>660</v>
      </c>
      <c r="C100" s="460"/>
      <c r="D100" s="460"/>
      <c r="E100" s="460"/>
      <c r="F100" s="460"/>
      <c r="G100" s="460"/>
      <c r="H100" s="195"/>
      <c r="I100" s="195" t="s">
        <v>570</v>
      </c>
      <c r="J100" s="202"/>
    </row>
    <row r="101" spans="1:12">
      <c r="A101" s="195" t="s">
        <v>542</v>
      </c>
      <c r="B101" s="473" t="s">
        <v>661</v>
      </c>
      <c r="C101" s="473"/>
      <c r="D101" s="473"/>
      <c r="E101" s="473"/>
      <c r="F101" s="473"/>
      <c r="G101" s="473"/>
      <c r="H101" s="193" t="s">
        <v>534</v>
      </c>
      <c r="I101" s="197">
        <f>Resumo!E32</f>
        <v>306.22166666666669</v>
      </c>
      <c r="J101" s="202"/>
    </row>
    <row r="102" spans="1:12">
      <c r="A102" s="195" t="s">
        <v>544</v>
      </c>
      <c r="B102" s="473" t="s">
        <v>662</v>
      </c>
      <c r="C102" s="473"/>
      <c r="D102" s="473"/>
      <c r="E102" s="473"/>
      <c r="F102" s="473"/>
      <c r="G102" s="473"/>
      <c r="H102" s="193" t="s">
        <v>534</v>
      </c>
      <c r="I102" s="197">
        <f>Resumo!F91</f>
        <v>21.940944444444444</v>
      </c>
      <c r="J102" s="202"/>
    </row>
    <row r="103" spans="1:12">
      <c r="A103" s="208" t="s">
        <v>547</v>
      </c>
      <c r="B103" s="473" t="s">
        <v>663</v>
      </c>
      <c r="C103" s="473"/>
      <c r="D103" s="473"/>
      <c r="E103" s="473"/>
      <c r="F103" s="473"/>
      <c r="G103" s="473"/>
      <c r="H103" s="193" t="s">
        <v>534</v>
      </c>
      <c r="I103" s="197">
        <f>Resumo!F56</f>
        <v>8.3808124999999993</v>
      </c>
      <c r="J103" s="202"/>
    </row>
    <row r="104" spans="1:12">
      <c r="A104" s="208" t="s">
        <v>550</v>
      </c>
      <c r="B104" s="473" t="s">
        <v>580</v>
      </c>
      <c r="C104" s="473"/>
      <c r="D104" s="473"/>
      <c r="E104" s="473"/>
      <c r="F104" s="473"/>
      <c r="G104" s="473"/>
      <c r="H104" s="193" t="s">
        <v>534</v>
      </c>
      <c r="I104" s="197">
        <v>0</v>
      </c>
      <c r="J104" s="202"/>
    </row>
    <row r="105" spans="1:12">
      <c r="A105" s="460" t="s">
        <v>664</v>
      </c>
      <c r="B105" s="460"/>
      <c r="C105" s="460"/>
      <c r="D105" s="460"/>
      <c r="E105" s="460"/>
      <c r="F105" s="460"/>
      <c r="G105" s="460"/>
      <c r="H105" s="206" t="s">
        <v>534</v>
      </c>
      <c r="I105" s="200">
        <f>SUM(I101:I104)</f>
        <v>336.54342361111111</v>
      </c>
      <c r="J105" s="202"/>
      <c r="K105" s="207"/>
      <c r="L105" s="215"/>
    </row>
    <row r="106" spans="1:12">
      <c r="A106" s="470"/>
      <c r="B106" s="471"/>
      <c r="C106" s="471"/>
      <c r="D106" s="471"/>
      <c r="E106" s="471"/>
      <c r="F106" s="471"/>
      <c r="G106" s="471"/>
      <c r="H106" s="471"/>
      <c r="I106" s="471"/>
      <c r="J106" s="202"/>
    </row>
    <row r="107" spans="1:12">
      <c r="A107" s="472" t="s">
        <v>665</v>
      </c>
      <c r="B107" s="472"/>
      <c r="C107" s="472"/>
      <c r="D107" s="472"/>
      <c r="E107" s="472"/>
      <c r="F107" s="472"/>
      <c r="G107" s="472"/>
      <c r="H107" s="472"/>
      <c r="I107" s="472"/>
      <c r="J107" s="202"/>
    </row>
    <row r="108" spans="1:12">
      <c r="A108" s="195">
        <v>6</v>
      </c>
      <c r="B108" s="460" t="s">
        <v>666</v>
      </c>
      <c r="C108" s="460"/>
      <c r="D108" s="460"/>
      <c r="E108" s="460"/>
      <c r="F108" s="460"/>
      <c r="G108" s="460"/>
      <c r="H108" s="195" t="s">
        <v>569</v>
      </c>
      <c r="I108" s="195" t="s">
        <v>570</v>
      </c>
      <c r="J108" s="202"/>
    </row>
    <row r="109" spans="1:12">
      <c r="A109" s="195" t="s">
        <v>542</v>
      </c>
      <c r="B109" s="461" t="s">
        <v>667</v>
      </c>
      <c r="C109" s="461"/>
      <c r="D109" s="461"/>
      <c r="E109" s="461"/>
      <c r="F109" s="461"/>
      <c r="G109" s="461"/>
      <c r="H109" s="216">
        <v>0.06</v>
      </c>
      <c r="I109" s="197">
        <f>TRUNC((($I$35+$I$68+$I$77+$I$97+$I$105)*H109),2)</f>
        <v>445</v>
      </c>
      <c r="J109" s="202"/>
    </row>
    <row r="110" spans="1:12">
      <c r="A110" s="195" t="s">
        <v>544</v>
      </c>
      <c r="B110" s="461" t="s">
        <v>668</v>
      </c>
      <c r="C110" s="461"/>
      <c r="D110" s="461"/>
      <c r="E110" s="461"/>
      <c r="F110" s="461"/>
      <c r="G110" s="461"/>
      <c r="H110" s="216">
        <v>6.7900000000000002E-2</v>
      </c>
      <c r="I110" s="197">
        <f>TRUNC((($I$35+$I$68+$I$77+$I$97+$I$105+I109)*H110),2)</f>
        <v>533.80999999999995</v>
      </c>
      <c r="J110" s="202"/>
    </row>
    <row r="111" spans="1:12">
      <c r="A111" s="195" t="s">
        <v>547</v>
      </c>
      <c r="B111" s="468" t="s">
        <v>669</v>
      </c>
      <c r="C111" s="468"/>
      <c r="D111" s="468"/>
      <c r="E111" s="468"/>
      <c r="F111" s="468"/>
      <c r="G111" s="468"/>
      <c r="H111" s="198"/>
      <c r="I111" s="217"/>
      <c r="J111" s="202"/>
    </row>
    <row r="112" spans="1:12">
      <c r="A112" s="195" t="s">
        <v>670</v>
      </c>
      <c r="B112" s="461" t="s">
        <v>671</v>
      </c>
      <c r="C112" s="461"/>
      <c r="D112" s="461"/>
      <c r="E112" s="461"/>
      <c r="F112" s="461"/>
      <c r="G112" s="461"/>
      <c r="H112" s="218">
        <v>6.4999999999999997E-3</v>
      </c>
      <c r="I112" s="197">
        <f>TRUNC(H112*I122,2)</f>
        <v>59.73</v>
      </c>
      <c r="J112" s="202"/>
    </row>
    <row r="113" spans="1:10">
      <c r="A113" s="195" t="s">
        <v>672</v>
      </c>
      <c r="B113" s="461" t="s">
        <v>673</v>
      </c>
      <c r="C113" s="461"/>
      <c r="D113" s="461"/>
      <c r="E113" s="461"/>
      <c r="F113" s="461"/>
      <c r="G113" s="461"/>
      <c r="H113" s="218">
        <v>0.03</v>
      </c>
      <c r="I113" s="197">
        <f>TRUNC(H113*I122,2)</f>
        <v>275.70999999999998</v>
      </c>
      <c r="J113" s="202"/>
    </row>
    <row r="114" spans="1:10">
      <c r="A114" s="195" t="s">
        <v>674</v>
      </c>
      <c r="B114" s="461" t="s">
        <v>675</v>
      </c>
      <c r="C114" s="461"/>
      <c r="D114" s="461"/>
      <c r="E114" s="461"/>
      <c r="F114" s="461"/>
      <c r="G114" s="461"/>
      <c r="H114" s="218">
        <v>0.05</v>
      </c>
      <c r="I114" s="197">
        <f>TRUNC(H114*I122,2)</f>
        <v>459.52</v>
      </c>
      <c r="J114" s="219"/>
    </row>
    <row r="115" spans="1:10">
      <c r="A115" s="460" t="s">
        <v>676</v>
      </c>
      <c r="B115" s="460"/>
      <c r="C115" s="460"/>
      <c r="D115" s="460"/>
      <c r="E115" s="460"/>
      <c r="F115" s="460"/>
      <c r="G115" s="460"/>
      <c r="H115" s="218">
        <f>SUM(H109:H114)</f>
        <v>0.21440000000000003</v>
      </c>
      <c r="I115" s="200">
        <f>SUM(I109:I114)</f>
        <v>1773.77</v>
      </c>
      <c r="J115" s="202"/>
    </row>
    <row r="116" spans="1:10">
      <c r="A116" s="191"/>
      <c r="B116" s="469"/>
      <c r="C116" s="469"/>
      <c r="D116" s="469"/>
      <c r="E116" s="469"/>
      <c r="F116" s="469"/>
      <c r="G116" s="469"/>
      <c r="H116" s="469"/>
      <c r="I116" s="469"/>
      <c r="J116" s="190"/>
    </row>
    <row r="117" spans="1:10">
      <c r="A117" s="220" t="s">
        <v>677</v>
      </c>
      <c r="B117" s="464" t="s">
        <v>678</v>
      </c>
      <c r="C117" s="464"/>
      <c r="D117" s="464"/>
      <c r="E117" s="464"/>
      <c r="F117" s="464"/>
      <c r="G117" s="464"/>
      <c r="H117" s="221">
        <f>H112+H113+H114</f>
        <v>8.6499999999999994E-2</v>
      </c>
      <c r="I117" s="222"/>
      <c r="J117" s="190"/>
    </row>
    <row r="118" spans="1:10">
      <c r="A118" s="223"/>
      <c r="B118" s="465">
        <v>100</v>
      </c>
      <c r="C118" s="465"/>
      <c r="D118" s="465"/>
      <c r="E118" s="465"/>
      <c r="F118" s="465"/>
      <c r="G118" s="465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5" t="s">
        <v>680</v>
      </c>
      <c r="C120" s="465"/>
      <c r="D120" s="465"/>
      <c r="E120" s="465"/>
      <c r="F120" s="465"/>
      <c r="G120" s="465"/>
      <c r="H120" s="225"/>
      <c r="I120" s="226">
        <f>I35+I68+I77+I97+I105+I109+I110</f>
        <v>8395.6034236111118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5" t="s">
        <v>682</v>
      </c>
      <c r="C122" s="465"/>
      <c r="D122" s="465"/>
      <c r="E122" s="465"/>
      <c r="F122" s="465"/>
      <c r="G122" s="465"/>
      <c r="H122" s="225"/>
      <c r="I122" s="226">
        <f>TRUNC(I120/(1-H117),2)</f>
        <v>9190.58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66" t="s">
        <v>683</v>
      </c>
      <c r="C124" s="466"/>
      <c r="D124" s="466"/>
      <c r="E124" s="466"/>
      <c r="F124" s="466"/>
      <c r="G124" s="466"/>
      <c r="H124" s="229"/>
      <c r="I124" s="230">
        <f>I122-I120</f>
        <v>794.97657638888813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67" t="s">
        <v>684</v>
      </c>
      <c r="B126" s="467"/>
      <c r="C126" s="467"/>
      <c r="D126" s="467"/>
      <c r="E126" s="467"/>
      <c r="F126" s="467"/>
      <c r="G126" s="467"/>
      <c r="H126" s="467"/>
      <c r="I126" s="467"/>
      <c r="J126" s="190"/>
    </row>
    <row r="127" spans="1:10">
      <c r="A127" s="460" t="s">
        <v>685</v>
      </c>
      <c r="B127" s="460"/>
      <c r="C127" s="460"/>
      <c r="D127" s="460"/>
      <c r="E127" s="460"/>
      <c r="F127" s="460"/>
      <c r="G127" s="460"/>
      <c r="H127" s="460"/>
      <c r="I127" s="195" t="s">
        <v>570</v>
      </c>
      <c r="J127" s="190"/>
    </row>
    <row r="128" spans="1:10">
      <c r="A128" s="193" t="s">
        <v>542</v>
      </c>
      <c r="B128" s="461" t="s">
        <v>567</v>
      </c>
      <c r="C128" s="461"/>
      <c r="D128" s="461"/>
      <c r="E128" s="461"/>
      <c r="F128" s="461"/>
      <c r="G128" s="461"/>
      <c r="H128" s="461"/>
      <c r="I128" s="197">
        <f>I35</f>
        <v>3540.43</v>
      </c>
    </row>
    <row r="129" spans="1:9">
      <c r="A129" s="193" t="s">
        <v>544</v>
      </c>
      <c r="B129" s="461" t="s">
        <v>582</v>
      </c>
      <c r="C129" s="461"/>
      <c r="D129" s="461"/>
      <c r="E129" s="461"/>
      <c r="F129" s="461"/>
      <c r="G129" s="461"/>
      <c r="H129" s="461"/>
      <c r="I129" s="197">
        <f>I68</f>
        <v>3286.53</v>
      </c>
    </row>
    <row r="130" spans="1:9">
      <c r="A130" s="193" t="s">
        <v>547</v>
      </c>
      <c r="B130" s="461" t="s">
        <v>632</v>
      </c>
      <c r="C130" s="461"/>
      <c r="D130" s="461"/>
      <c r="E130" s="461"/>
      <c r="F130" s="461"/>
      <c r="G130" s="461"/>
      <c r="H130" s="461"/>
      <c r="I130" s="197">
        <f>I77</f>
        <v>253.29000000000002</v>
      </c>
    </row>
    <row r="131" spans="1:9">
      <c r="A131" s="193" t="s">
        <v>550</v>
      </c>
      <c r="B131" s="461" t="s">
        <v>640</v>
      </c>
      <c r="C131" s="461"/>
      <c r="D131" s="461"/>
      <c r="E131" s="461"/>
      <c r="F131" s="461"/>
      <c r="G131" s="461"/>
      <c r="H131" s="461"/>
      <c r="I131" s="197">
        <f>I97</f>
        <v>0</v>
      </c>
    </row>
    <row r="132" spans="1:9">
      <c r="A132" s="193" t="s">
        <v>577</v>
      </c>
      <c r="B132" s="461" t="s">
        <v>659</v>
      </c>
      <c r="C132" s="461"/>
      <c r="D132" s="461"/>
      <c r="E132" s="461"/>
      <c r="F132" s="461"/>
      <c r="G132" s="461"/>
      <c r="H132" s="461"/>
      <c r="I132" s="197">
        <f>I105</f>
        <v>336.54342361111111</v>
      </c>
    </row>
    <row r="133" spans="1:9">
      <c r="A133" s="195"/>
      <c r="B133" s="460" t="s">
        <v>686</v>
      </c>
      <c r="C133" s="460"/>
      <c r="D133" s="460"/>
      <c r="E133" s="460"/>
      <c r="F133" s="460"/>
      <c r="G133" s="460"/>
      <c r="H133" s="460"/>
      <c r="I133" s="200">
        <f>SUM(I128:I132)</f>
        <v>7416.7934236111114</v>
      </c>
    </row>
    <row r="134" spans="1:9">
      <c r="A134" s="193" t="s">
        <v>579</v>
      </c>
      <c r="B134" s="461" t="s">
        <v>665</v>
      </c>
      <c r="C134" s="461"/>
      <c r="D134" s="461"/>
      <c r="E134" s="461"/>
      <c r="F134" s="461"/>
      <c r="G134" s="461"/>
      <c r="H134" s="461"/>
      <c r="I134" s="197">
        <f>I115</f>
        <v>1773.77</v>
      </c>
    </row>
    <row r="135" spans="1:9">
      <c r="A135" s="460" t="s">
        <v>687</v>
      </c>
      <c r="B135" s="460"/>
      <c r="C135" s="460"/>
      <c r="D135" s="460"/>
      <c r="E135" s="460"/>
      <c r="F135" s="460"/>
      <c r="G135" s="460"/>
      <c r="H135" s="460"/>
      <c r="I135" s="200">
        <f>I133+I134</f>
        <v>9190.5634236111109</v>
      </c>
    </row>
    <row r="136" spans="1:9">
      <c r="A136" s="460" t="s">
        <v>688</v>
      </c>
      <c r="B136" s="460"/>
      <c r="C136" s="460"/>
      <c r="D136" s="460"/>
      <c r="E136" s="460"/>
      <c r="F136" s="460"/>
      <c r="G136" s="460"/>
      <c r="H136" s="460"/>
      <c r="I136" s="254">
        <f>TRUNC(I135*2,2)</f>
        <v>18381.12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9" t="s">
        <v>689</v>
      </c>
      <c r="C138" s="429"/>
      <c r="D138" s="429"/>
      <c r="E138" s="429"/>
      <c r="F138" s="429"/>
      <c r="G138" s="429"/>
      <c r="H138" s="192"/>
      <c r="I138" s="192"/>
    </row>
    <row r="139" spans="1:9" ht="64.5" hidden="1" thickBot="1">
      <c r="A139" s="462" t="s">
        <v>690</v>
      </c>
      <c r="B139" s="463"/>
      <c r="C139" s="462" t="s">
        <v>691</v>
      </c>
      <c r="D139" s="463"/>
      <c r="E139" s="462" t="s">
        <v>692</v>
      </c>
      <c r="F139" s="463"/>
      <c r="G139" s="231" t="s">
        <v>693</v>
      </c>
      <c r="H139" s="232" t="s">
        <v>694</v>
      </c>
      <c r="I139" s="233" t="s">
        <v>570</v>
      </c>
    </row>
    <row r="140" spans="1:9" hidden="1">
      <c r="A140" s="454" t="s">
        <v>695</v>
      </c>
      <c r="B140" s="455"/>
      <c r="C140" s="456" t="s">
        <v>478</v>
      </c>
      <c r="D140" s="457"/>
      <c r="E140" s="458"/>
      <c r="F140" s="459"/>
      <c r="G140" s="235" t="s">
        <v>478</v>
      </c>
      <c r="H140" s="236"/>
      <c r="I140" s="237">
        <v>0</v>
      </c>
    </row>
    <row r="141" spans="1:9" hidden="1">
      <c r="A141" s="450" t="s">
        <v>696</v>
      </c>
      <c r="B141" s="451"/>
      <c r="C141" s="452" t="s">
        <v>478</v>
      </c>
      <c r="D141" s="453"/>
      <c r="E141" s="444"/>
      <c r="F141" s="445"/>
      <c r="G141" s="211" t="s">
        <v>478</v>
      </c>
      <c r="H141" s="239"/>
      <c r="I141" s="240">
        <v>0</v>
      </c>
    </row>
    <row r="142" spans="1:9" hidden="1">
      <c r="A142" s="450" t="s">
        <v>697</v>
      </c>
      <c r="B142" s="451"/>
      <c r="C142" s="452" t="s">
        <v>478</v>
      </c>
      <c r="D142" s="453"/>
      <c r="E142" s="444"/>
      <c r="F142" s="445"/>
      <c r="G142" s="211" t="s">
        <v>478</v>
      </c>
      <c r="H142" s="239"/>
      <c r="I142" s="240">
        <v>0</v>
      </c>
    </row>
    <row r="143" spans="1:9" hidden="1">
      <c r="A143" s="450" t="s">
        <v>698</v>
      </c>
      <c r="B143" s="451"/>
      <c r="C143" s="452" t="s">
        <v>478</v>
      </c>
      <c r="D143" s="453"/>
      <c r="E143" s="444"/>
      <c r="F143" s="445"/>
      <c r="G143" s="211" t="s">
        <v>478</v>
      </c>
      <c r="H143" s="239"/>
      <c r="I143" s="240">
        <v>0</v>
      </c>
    </row>
    <row r="144" spans="1:9" hidden="1">
      <c r="A144" s="442"/>
      <c r="B144" s="443"/>
      <c r="C144" s="444"/>
      <c r="D144" s="445"/>
      <c r="E144" s="444"/>
      <c r="F144" s="445"/>
      <c r="G144" s="241"/>
      <c r="H144" s="242"/>
      <c r="I144" s="240"/>
    </row>
    <row r="145" spans="1:9" ht="15.75" hidden="1" thickBot="1">
      <c r="A145" s="446"/>
      <c r="B145" s="447"/>
      <c r="C145" s="448"/>
      <c r="D145" s="449"/>
      <c r="E145" s="448"/>
      <c r="F145" s="449"/>
      <c r="G145" s="243"/>
      <c r="H145" s="244"/>
      <c r="I145" s="245"/>
    </row>
    <row r="146" spans="1:9" ht="15.75" hidden="1" thickBot="1">
      <c r="A146" s="426" t="s">
        <v>699</v>
      </c>
      <c r="B146" s="427"/>
      <c r="C146" s="427"/>
      <c r="D146" s="427"/>
      <c r="E146" s="427"/>
      <c r="F146" s="427"/>
      <c r="G146" s="427"/>
      <c r="H146" s="42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9" t="s">
        <v>701</v>
      </c>
      <c r="C148" s="429"/>
      <c r="D148" s="429"/>
      <c r="E148" s="429"/>
      <c r="F148" s="429"/>
      <c r="G148" s="429"/>
      <c r="H148" s="192"/>
      <c r="I148" s="192"/>
    </row>
    <row r="149" spans="1:9" ht="15.75" hidden="1" thickBot="1">
      <c r="A149" s="430" t="s">
        <v>702</v>
      </c>
      <c r="B149" s="431"/>
      <c r="C149" s="431"/>
      <c r="D149" s="431"/>
      <c r="E149" s="431"/>
      <c r="F149" s="431"/>
      <c r="G149" s="431"/>
      <c r="H149" s="431"/>
      <c r="I149" s="432"/>
    </row>
    <row r="150" spans="1:9" ht="15.75" hidden="1" thickBot="1">
      <c r="A150" s="247"/>
      <c r="B150" s="433" t="s">
        <v>703</v>
      </c>
      <c r="C150" s="434"/>
      <c r="D150" s="434"/>
      <c r="E150" s="434"/>
      <c r="F150" s="434"/>
      <c r="G150" s="434"/>
      <c r="H150" s="435"/>
      <c r="I150" s="233" t="s">
        <v>570</v>
      </c>
    </row>
    <row r="151" spans="1:9" hidden="1">
      <c r="A151" s="234" t="s">
        <v>542</v>
      </c>
      <c r="B151" s="436" t="s">
        <v>704</v>
      </c>
      <c r="C151" s="437"/>
      <c r="D151" s="437"/>
      <c r="E151" s="437"/>
      <c r="F151" s="437"/>
      <c r="G151" s="437"/>
      <c r="H151" s="438"/>
      <c r="I151" s="248">
        <v>115.15</v>
      </c>
    </row>
    <row r="152" spans="1:9" hidden="1">
      <c r="A152" s="238" t="s">
        <v>544</v>
      </c>
      <c r="B152" s="439" t="s">
        <v>705</v>
      </c>
      <c r="C152" s="440"/>
      <c r="D152" s="440"/>
      <c r="E152" s="440"/>
      <c r="F152" s="440"/>
      <c r="G152" s="440"/>
      <c r="H152" s="441"/>
      <c r="I152" s="249" t="e">
        <v>#REF!</v>
      </c>
    </row>
    <row r="153" spans="1:9" ht="15.75" hidden="1" thickBot="1">
      <c r="A153" s="238" t="s">
        <v>547</v>
      </c>
      <c r="B153" s="418" t="s">
        <v>706</v>
      </c>
      <c r="C153" s="419"/>
      <c r="D153" s="419"/>
      <c r="E153" s="419"/>
      <c r="F153" s="419"/>
      <c r="G153" s="419"/>
      <c r="H153" s="420"/>
      <c r="I153" s="249">
        <v>1641.84</v>
      </c>
    </row>
    <row r="154" spans="1:9" ht="15.75" hidden="1" thickBot="1">
      <c r="A154" s="421" t="s">
        <v>707</v>
      </c>
      <c r="B154" s="422"/>
      <c r="C154" s="422"/>
      <c r="D154" s="422"/>
      <c r="E154" s="422"/>
      <c r="F154" s="422"/>
      <c r="G154" s="422"/>
      <c r="H154" s="423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24" t="s">
        <v>710</v>
      </c>
      <c r="B158" s="424"/>
      <c r="C158" s="424"/>
      <c r="D158" s="424"/>
      <c r="E158" s="424"/>
      <c r="F158" s="424"/>
      <c r="G158" s="424"/>
      <c r="H158" s="424"/>
      <c r="I158" s="250">
        <f>I135/I35</f>
        <v>2.5958890370975025</v>
      </c>
    </row>
    <row r="159" spans="1:9" ht="31.5" customHeight="1">
      <c r="A159" s="425" t="s">
        <v>711</v>
      </c>
      <c r="B159" s="425"/>
      <c r="C159" s="425"/>
      <c r="D159" s="425"/>
      <c r="E159" s="425"/>
      <c r="F159" s="425"/>
      <c r="G159" s="425"/>
      <c r="H159" s="425"/>
      <c r="I159" s="425"/>
    </row>
    <row r="160" spans="1:9" ht="63" customHeight="1">
      <c r="A160" s="425" t="s">
        <v>712</v>
      </c>
      <c r="B160" s="425"/>
      <c r="C160" s="425"/>
      <c r="D160" s="425"/>
      <c r="E160" s="425"/>
      <c r="F160" s="425"/>
      <c r="G160" s="425"/>
      <c r="H160" s="425"/>
      <c r="I160" s="425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1"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  <mergeCell ref="E143:F143"/>
    <mergeCell ref="B153:H153"/>
    <mergeCell ref="A154:H154"/>
    <mergeCell ref="A158:H158"/>
    <mergeCell ref="A159:I159"/>
    <mergeCell ref="A160:I160"/>
    <mergeCell ref="A146:H146"/>
    <mergeCell ref="B148:G148"/>
    <mergeCell ref="A149:I149"/>
    <mergeCell ref="B150:H150"/>
    <mergeCell ref="B151:H151"/>
    <mergeCell ref="B152:H152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1FAD0-5E89-4123-96D2-965E2DB2DFEE}">
  <dimension ref="A1:N163"/>
  <sheetViews>
    <sheetView topLeftCell="A121" workbookViewId="0">
      <selection activeCell="A2" sqref="A2:I2"/>
    </sheetView>
  </sheetViews>
  <sheetFormatPr defaultColWidth="9.140625"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1" max="11" width="79.5703125" customWidth="1"/>
  </cols>
  <sheetData>
    <row r="1" spans="1:9" ht="42" customHeight="1">
      <c r="A1" s="190"/>
      <c r="B1" s="505" t="s">
        <v>535</v>
      </c>
      <c r="C1" s="506"/>
      <c r="D1" s="506"/>
      <c r="E1" s="506"/>
      <c r="F1" s="506"/>
      <c r="G1" s="506"/>
      <c r="H1" s="506"/>
      <c r="I1" s="506"/>
    </row>
    <row r="2" spans="1:9">
      <c r="A2" s="429"/>
      <c r="B2" s="429"/>
      <c r="C2" s="429"/>
      <c r="D2" s="429"/>
      <c r="E2" s="429"/>
      <c r="F2" s="429"/>
      <c r="G2" s="429"/>
      <c r="H2" s="429"/>
      <c r="I2" s="429"/>
    </row>
    <row r="3" spans="1:9">
      <c r="A3" s="507" t="s">
        <v>536</v>
      </c>
      <c r="B3" s="507"/>
      <c r="C3" s="507"/>
      <c r="D3" s="507"/>
      <c r="E3" s="507"/>
      <c r="F3" s="507"/>
      <c r="G3" s="507"/>
      <c r="H3" s="507"/>
      <c r="I3" s="507"/>
    </row>
    <row r="4" spans="1:9">
      <c r="A4" s="508" t="s">
        <v>537</v>
      </c>
      <c r="B4" s="508"/>
      <c r="C4" s="508"/>
      <c r="D4" s="508"/>
      <c r="E4" s="508"/>
      <c r="F4" s="508"/>
      <c r="G4" s="508"/>
      <c r="H4" s="508"/>
      <c r="I4" s="508"/>
    </row>
    <row r="5" spans="1:9">
      <c r="A5" s="508" t="s">
        <v>538</v>
      </c>
      <c r="B5" s="508"/>
      <c r="C5" s="508"/>
      <c r="D5" s="508"/>
      <c r="E5" s="508"/>
      <c r="F5" s="508"/>
      <c r="G5" s="508"/>
      <c r="H5" s="508"/>
      <c r="I5" s="508"/>
    </row>
    <row r="6" spans="1:9">
      <c r="A6" s="509" t="s">
        <v>539</v>
      </c>
      <c r="B6" s="509"/>
      <c r="C6" s="509"/>
      <c r="D6" s="509"/>
      <c r="E6" s="509"/>
      <c r="F6" s="509"/>
      <c r="G6" s="509"/>
      <c r="H6" s="509"/>
      <c r="I6" s="509"/>
    </row>
    <row r="7" spans="1:9">
      <c r="A7" s="429"/>
      <c r="B7" s="429"/>
      <c r="C7" s="429"/>
      <c r="D7" s="429"/>
      <c r="E7" s="429"/>
      <c r="F7" s="429"/>
      <c r="G7" s="429"/>
      <c r="H7" s="429"/>
      <c r="I7" s="429"/>
    </row>
    <row r="8" spans="1:9">
      <c r="A8" s="503" t="s">
        <v>540</v>
      </c>
      <c r="B8" s="503"/>
      <c r="C8" s="503"/>
      <c r="D8" s="503"/>
      <c r="E8" s="503"/>
      <c r="F8" s="503"/>
      <c r="G8" s="503"/>
      <c r="H8" s="503"/>
      <c r="I8" s="503"/>
    </row>
    <row r="9" spans="1:9">
      <c r="A9" s="504"/>
      <c r="B9" s="504"/>
      <c r="C9" s="504"/>
      <c r="D9" s="504"/>
      <c r="E9" s="504"/>
      <c r="F9" s="504"/>
      <c r="G9" s="504"/>
      <c r="H9" s="504"/>
      <c r="I9" s="504"/>
    </row>
    <row r="10" spans="1:9">
      <c r="A10" s="467" t="s">
        <v>541</v>
      </c>
      <c r="B10" s="467"/>
      <c r="C10" s="467"/>
      <c r="D10" s="467"/>
      <c r="E10" s="467"/>
      <c r="F10" s="467"/>
      <c r="G10" s="467"/>
      <c r="H10" s="467"/>
      <c r="I10" s="467"/>
    </row>
    <row r="11" spans="1:9">
      <c r="A11" s="193" t="s">
        <v>542</v>
      </c>
      <c r="B11" s="461" t="s">
        <v>543</v>
      </c>
      <c r="C11" s="461"/>
      <c r="D11" s="461"/>
      <c r="E11" s="461"/>
      <c r="F11" s="461"/>
      <c r="G11" s="461"/>
      <c r="H11" s="501"/>
      <c r="I11" s="450"/>
    </row>
    <row r="12" spans="1:9">
      <c r="A12" s="193" t="s">
        <v>544</v>
      </c>
      <c r="B12" s="461" t="s">
        <v>545</v>
      </c>
      <c r="C12" s="461"/>
      <c r="D12" s="461"/>
      <c r="E12" s="461"/>
      <c r="F12" s="461"/>
      <c r="G12" s="461"/>
      <c r="H12" s="450" t="s">
        <v>546</v>
      </c>
      <c r="I12" s="450"/>
    </row>
    <row r="13" spans="1:9" ht="15" customHeight="1">
      <c r="A13" s="193" t="s">
        <v>547</v>
      </c>
      <c r="B13" s="461" t="s">
        <v>548</v>
      </c>
      <c r="C13" s="461"/>
      <c r="D13" s="461"/>
      <c r="E13" s="461"/>
      <c r="F13" s="461"/>
      <c r="G13" s="461"/>
      <c r="H13" s="510" t="s">
        <v>549</v>
      </c>
      <c r="I13" s="450"/>
    </row>
    <row r="14" spans="1:9">
      <c r="A14" s="193" t="s">
        <v>550</v>
      </c>
      <c r="B14" s="461" t="s">
        <v>551</v>
      </c>
      <c r="C14" s="461"/>
      <c r="D14" s="461"/>
      <c r="E14" s="461"/>
      <c r="F14" s="461"/>
      <c r="G14" s="461"/>
      <c r="H14" s="450">
        <v>12</v>
      </c>
      <c r="I14" s="450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67" t="s">
        <v>552</v>
      </c>
      <c r="B16" s="467"/>
      <c r="C16" s="467"/>
      <c r="D16" s="467"/>
      <c r="E16" s="467"/>
      <c r="F16" s="467"/>
      <c r="G16" s="467"/>
      <c r="H16" s="467"/>
      <c r="I16" s="467"/>
    </row>
    <row r="17" spans="1:14">
      <c r="A17" s="450" t="s">
        <v>553</v>
      </c>
      <c r="B17" s="450"/>
      <c r="C17" s="450" t="s">
        <v>554</v>
      </c>
      <c r="D17" s="450"/>
      <c r="E17" s="450" t="s">
        <v>555</v>
      </c>
      <c r="F17" s="450"/>
      <c r="G17" s="450"/>
      <c r="H17" s="450"/>
      <c r="I17" s="450"/>
      <c r="J17" s="190"/>
    </row>
    <row r="18" spans="1:14">
      <c r="A18" s="450" t="s">
        <v>713</v>
      </c>
      <c r="B18" s="450"/>
      <c r="C18" s="450" t="s">
        <v>557</v>
      </c>
      <c r="D18" s="450"/>
      <c r="E18" s="450">
        <v>2</v>
      </c>
      <c r="F18" s="450"/>
      <c r="G18" s="450"/>
      <c r="H18" s="450"/>
      <c r="I18" s="450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67" t="s">
        <v>558</v>
      </c>
      <c r="B20" s="467"/>
      <c r="C20" s="467"/>
      <c r="D20" s="467"/>
      <c r="E20" s="467"/>
      <c r="F20" s="467"/>
      <c r="G20" s="467"/>
      <c r="H20" s="467"/>
      <c r="I20" s="467"/>
      <c r="J20" s="190"/>
    </row>
    <row r="21" spans="1:14">
      <c r="A21" s="193">
        <v>1</v>
      </c>
      <c r="B21" s="461" t="s">
        <v>559</v>
      </c>
      <c r="C21" s="461"/>
      <c r="D21" s="461"/>
      <c r="E21" s="461"/>
      <c r="F21" s="461"/>
      <c r="G21" s="461"/>
      <c r="H21" s="450" t="s">
        <v>714</v>
      </c>
      <c r="I21" s="450"/>
      <c r="J21" s="190"/>
    </row>
    <row r="22" spans="1:14">
      <c r="A22" s="193">
        <v>2</v>
      </c>
      <c r="B22" s="461" t="s">
        <v>561</v>
      </c>
      <c r="C22" s="461"/>
      <c r="D22" s="461"/>
      <c r="E22" s="461"/>
      <c r="F22" s="461"/>
      <c r="G22" s="461"/>
      <c r="H22" s="450" t="s">
        <v>562</v>
      </c>
      <c r="I22" s="450"/>
      <c r="J22" s="190"/>
    </row>
    <row r="23" spans="1:14">
      <c r="A23" s="193">
        <v>3</v>
      </c>
      <c r="B23" s="461" t="s">
        <v>563</v>
      </c>
      <c r="C23" s="461"/>
      <c r="D23" s="461"/>
      <c r="E23" s="461"/>
      <c r="F23" s="461"/>
      <c r="G23" s="461"/>
      <c r="H23" s="502">
        <v>2723.41</v>
      </c>
      <c r="I23" s="450"/>
      <c r="J23" s="190"/>
    </row>
    <row r="24" spans="1:14">
      <c r="A24" s="193">
        <v>4</v>
      </c>
      <c r="B24" s="461" t="s">
        <v>564</v>
      </c>
      <c r="C24" s="461"/>
      <c r="D24" s="461"/>
      <c r="E24" s="461"/>
      <c r="F24" s="461"/>
      <c r="G24" s="461"/>
      <c r="H24" s="460" t="s">
        <v>565</v>
      </c>
      <c r="I24" s="460"/>
      <c r="J24" s="190"/>
    </row>
    <row r="25" spans="1:14">
      <c r="A25" s="193">
        <v>5</v>
      </c>
      <c r="B25" s="461" t="s">
        <v>566</v>
      </c>
      <c r="C25" s="461"/>
      <c r="D25" s="461"/>
      <c r="E25" s="461"/>
      <c r="F25" s="461"/>
      <c r="G25" s="461"/>
      <c r="H25" s="501">
        <v>45292</v>
      </c>
      <c r="I25" s="450"/>
      <c r="J25" s="190"/>
    </row>
    <row r="26" spans="1:14">
      <c r="A26" s="429"/>
      <c r="B26" s="429"/>
      <c r="C26" s="429"/>
      <c r="D26" s="429"/>
      <c r="E26" s="429"/>
      <c r="F26" s="429"/>
      <c r="G26" s="429"/>
      <c r="H26" s="429"/>
      <c r="I26" s="429"/>
      <c r="J26" s="190"/>
    </row>
    <row r="27" spans="1:14">
      <c r="A27" s="472" t="s">
        <v>567</v>
      </c>
      <c r="B27" s="472"/>
      <c r="C27" s="472"/>
      <c r="D27" s="472"/>
      <c r="E27" s="472"/>
      <c r="F27" s="472"/>
      <c r="G27" s="472"/>
      <c r="H27" s="472"/>
      <c r="I27" s="472"/>
      <c r="J27" s="190"/>
    </row>
    <row r="28" spans="1:14">
      <c r="A28" s="195">
        <v>1</v>
      </c>
      <c r="B28" s="460" t="s">
        <v>568</v>
      </c>
      <c r="C28" s="460"/>
      <c r="D28" s="460"/>
      <c r="E28" s="460"/>
      <c r="F28" s="460"/>
      <c r="G28" s="460"/>
      <c r="H28" s="195" t="s">
        <v>569</v>
      </c>
      <c r="I28" s="195" t="s">
        <v>570</v>
      </c>
      <c r="J28" s="190"/>
    </row>
    <row r="29" spans="1:14">
      <c r="A29" s="195" t="s">
        <v>542</v>
      </c>
      <c r="B29" s="461" t="s">
        <v>571</v>
      </c>
      <c r="C29" s="461"/>
      <c r="D29" s="461"/>
      <c r="E29" s="461"/>
      <c r="F29" s="461"/>
      <c r="G29" s="461"/>
      <c r="H29" s="196"/>
      <c r="I29" s="197">
        <f>H23</f>
        <v>2723.41</v>
      </c>
      <c r="J29" s="498" t="s">
        <v>572</v>
      </c>
      <c r="K29" s="499"/>
      <c r="L29" s="499"/>
      <c r="M29" s="499"/>
      <c r="N29" s="500"/>
    </row>
    <row r="30" spans="1:14">
      <c r="A30" s="195" t="s">
        <v>544</v>
      </c>
      <c r="B30" s="461" t="s">
        <v>573</v>
      </c>
      <c r="C30" s="461"/>
      <c r="D30" s="461"/>
      <c r="E30" s="461"/>
      <c r="F30" s="461"/>
      <c r="G30" s="461"/>
      <c r="H30" s="198">
        <v>0.3</v>
      </c>
      <c r="I30" s="197">
        <f>TRUNC(I29*H30,2)</f>
        <v>817.02</v>
      </c>
      <c r="J30" s="498" t="s">
        <v>574</v>
      </c>
      <c r="K30" s="499"/>
      <c r="L30" s="499"/>
      <c r="M30" s="499"/>
      <c r="N30" s="500"/>
    </row>
    <row r="31" spans="1:14">
      <c r="A31" s="195" t="s">
        <v>547</v>
      </c>
      <c r="B31" s="461" t="s">
        <v>575</v>
      </c>
      <c r="C31" s="461"/>
      <c r="D31" s="461"/>
      <c r="E31" s="461"/>
      <c r="F31" s="461"/>
      <c r="G31" s="461"/>
      <c r="H31" s="198"/>
      <c r="I31" s="197">
        <v>0</v>
      </c>
      <c r="J31" s="190"/>
    </row>
    <row r="32" spans="1:14">
      <c r="A32" s="195" t="s">
        <v>550</v>
      </c>
      <c r="B32" s="461" t="s">
        <v>715</v>
      </c>
      <c r="C32" s="461"/>
      <c r="D32" s="461"/>
      <c r="E32" s="461"/>
      <c r="F32" s="461"/>
      <c r="G32" s="461"/>
      <c r="H32" s="198">
        <v>0.2</v>
      </c>
      <c r="I32" s="197">
        <f>TRUNC((I29+I30)/220*H32*(7*15),2)</f>
        <v>337.95</v>
      </c>
      <c r="J32" s="498" t="s">
        <v>716</v>
      </c>
      <c r="K32" s="499"/>
      <c r="L32" s="499"/>
      <c r="M32" s="499"/>
      <c r="N32" s="500"/>
    </row>
    <row r="33" spans="1:14">
      <c r="A33" s="195" t="s">
        <v>577</v>
      </c>
      <c r="B33" s="461" t="s">
        <v>717</v>
      </c>
      <c r="C33" s="461"/>
      <c r="D33" s="461"/>
      <c r="E33" s="461"/>
      <c r="F33" s="461"/>
      <c r="G33" s="461"/>
      <c r="H33" s="199">
        <f>60/52.5-1</f>
        <v>0.14285714285714279</v>
      </c>
      <c r="I33" s="197">
        <f>TRUNC(I32*H33,2)</f>
        <v>48.27</v>
      </c>
      <c r="J33" s="498" t="s">
        <v>718</v>
      </c>
      <c r="K33" s="499"/>
      <c r="L33" s="499"/>
      <c r="M33" s="499"/>
      <c r="N33" s="500"/>
    </row>
    <row r="34" spans="1:14">
      <c r="A34" s="195" t="s">
        <v>579</v>
      </c>
      <c r="B34" s="461" t="s">
        <v>580</v>
      </c>
      <c r="C34" s="461"/>
      <c r="D34" s="461"/>
      <c r="E34" s="461"/>
      <c r="F34" s="461"/>
      <c r="G34" s="461"/>
      <c r="H34" s="198"/>
      <c r="I34" s="197">
        <v>0</v>
      </c>
      <c r="J34" s="190"/>
    </row>
    <row r="35" spans="1:14">
      <c r="A35" s="460" t="s">
        <v>581</v>
      </c>
      <c r="B35" s="460"/>
      <c r="C35" s="460"/>
      <c r="D35" s="460"/>
      <c r="E35" s="460"/>
      <c r="F35" s="460"/>
      <c r="G35" s="460"/>
      <c r="H35" s="460"/>
      <c r="I35" s="200">
        <f>SUM(I29:I34)</f>
        <v>3926.6499999999996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72" t="s">
        <v>582</v>
      </c>
      <c r="B37" s="472"/>
      <c r="C37" s="472"/>
      <c r="D37" s="472"/>
      <c r="E37" s="472"/>
      <c r="F37" s="472"/>
      <c r="G37" s="472"/>
      <c r="H37" s="472"/>
      <c r="I37" s="472"/>
      <c r="J37" s="202"/>
      <c r="L37" s="203"/>
    </row>
    <row r="38" spans="1:14">
      <c r="A38" s="460" t="s">
        <v>583</v>
      </c>
      <c r="B38" s="460"/>
      <c r="C38" s="460"/>
      <c r="D38" s="460"/>
      <c r="E38" s="460"/>
      <c r="F38" s="460"/>
      <c r="G38" s="460"/>
      <c r="H38" s="195" t="s">
        <v>569</v>
      </c>
      <c r="I38" s="195" t="s">
        <v>570</v>
      </c>
      <c r="J38" s="202"/>
    </row>
    <row r="39" spans="1:14">
      <c r="A39" s="195" t="s">
        <v>542</v>
      </c>
      <c r="B39" s="461" t="s">
        <v>584</v>
      </c>
      <c r="C39" s="461"/>
      <c r="D39" s="461"/>
      <c r="E39" s="461"/>
      <c r="F39" s="461"/>
      <c r="G39" s="461"/>
      <c r="H39" s="204">
        <f>1/12</f>
        <v>8.3333333333333329E-2</v>
      </c>
      <c r="I39" s="197">
        <f>TRUNC(I35*H39,2)</f>
        <v>327.22000000000003</v>
      </c>
      <c r="J39" s="490" t="s">
        <v>585</v>
      </c>
      <c r="K39" s="491"/>
      <c r="L39" s="491"/>
      <c r="M39" s="491"/>
      <c r="N39" s="492"/>
    </row>
    <row r="40" spans="1:14">
      <c r="A40" s="195" t="s">
        <v>544</v>
      </c>
      <c r="B40" s="461" t="s">
        <v>586</v>
      </c>
      <c r="C40" s="461"/>
      <c r="D40" s="461"/>
      <c r="E40" s="461"/>
      <c r="F40" s="461"/>
      <c r="G40" s="461"/>
      <c r="H40" s="205">
        <v>0.121</v>
      </c>
      <c r="I40" s="197">
        <f>TRUNC(I35*H40,2)</f>
        <v>475.12</v>
      </c>
      <c r="J40" s="490" t="s">
        <v>587</v>
      </c>
      <c r="K40" s="491"/>
      <c r="L40" s="491"/>
      <c r="M40" s="491"/>
      <c r="N40" s="492"/>
    </row>
    <row r="41" spans="1:14">
      <c r="A41" s="460" t="s">
        <v>588</v>
      </c>
      <c r="B41" s="460"/>
      <c r="C41" s="460"/>
      <c r="D41" s="460"/>
      <c r="E41" s="460"/>
      <c r="F41" s="460"/>
      <c r="G41" s="460"/>
      <c r="H41" s="206">
        <v>0.20430000000000001</v>
      </c>
      <c r="I41" s="200">
        <f>SUM(I39:I40)</f>
        <v>802.34</v>
      </c>
      <c r="J41" s="202"/>
    </row>
    <row r="42" spans="1:14">
      <c r="A42" s="496"/>
      <c r="B42" s="497"/>
      <c r="C42" s="497"/>
      <c r="D42" s="497"/>
      <c r="E42" s="497"/>
      <c r="F42" s="497"/>
      <c r="G42" s="497"/>
      <c r="H42" s="497"/>
      <c r="I42" s="497"/>
      <c r="J42" s="190"/>
    </row>
    <row r="43" spans="1:14">
      <c r="A43" s="460" t="s">
        <v>589</v>
      </c>
      <c r="B43" s="460"/>
      <c r="C43" s="460"/>
      <c r="D43" s="460"/>
      <c r="E43" s="460"/>
      <c r="F43" s="460"/>
      <c r="G43" s="460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61" t="s">
        <v>590</v>
      </c>
      <c r="C44" s="461"/>
      <c r="D44" s="461"/>
      <c r="E44" s="461"/>
      <c r="F44" s="461"/>
      <c r="G44" s="461"/>
      <c r="H44" s="204">
        <v>0.2</v>
      </c>
      <c r="I44" s="197">
        <f>TRUNC(($I$35+$I$41)*H44,2)</f>
        <v>945.79</v>
      </c>
      <c r="J44" s="490" t="s">
        <v>591</v>
      </c>
      <c r="K44" s="491"/>
      <c r="L44" s="491"/>
      <c r="M44" s="491"/>
      <c r="N44" s="492"/>
    </row>
    <row r="45" spans="1:14">
      <c r="A45" s="195" t="s">
        <v>544</v>
      </c>
      <c r="B45" s="461" t="s">
        <v>592</v>
      </c>
      <c r="C45" s="461"/>
      <c r="D45" s="461"/>
      <c r="E45" s="461"/>
      <c r="F45" s="461"/>
      <c r="G45" s="461"/>
      <c r="H45" s="204">
        <v>2.5000000000000001E-2</v>
      </c>
      <c r="I45" s="197">
        <f>TRUNC(($I$35+$I$41)*H45,2)</f>
        <v>118.22</v>
      </c>
      <c r="J45" s="490" t="s">
        <v>593</v>
      </c>
      <c r="K45" s="491"/>
      <c r="L45" s="491"/>
      <c r="M45" s="491"/>
      <c r="N45" s="492"/>
    </row>
    <row r="46" spans="1:14">
      <c r="A46" s="195" t="s">
        <v>547</v>
      </c>
      <c r="B46" s="461" t="s">
        <v>594</v>
      </c>
      <c r="C46" s="461"/>
      <c r="D46" s="461"/>
      <c r="E46" s="461"/>
      <c r="F46" s="461"/>
      <c r="G46" s="461"/>
      <c r="H46" s="204">
        <v>0.03</v>
      </c>
      <c r="I46" s="197">
        <f t="shared" ref="I46:I51" si="0">TRUNC(($I$35+$I$41)*H46,2)</f>
        <v>141.86000000000001</v>
      </c>
      <c r="J46" s="493" t="s">
        <v>595</v>
      </c>
      <c r="K46" s="494"/>
      <c r="L46" s="494"/>
      <c r="M46" s="494"/>
      <c r="N46" s="495"/>
    </row>
    <row r="47" spans="1:14">
      <c r="A47" s="195" t="s">
        <v>550</v>
      </c>
      <c r="B47" s="461" t="s">
        <v>596</v>
      </c>
      <c r="C47" s="461"/>
      <c r="D47" s="461"/>
      <c r="E47" s="461"/>
      <c r="F47" s="461"/>
      <c r="G47" s="461"/>
      <c r="H47" s="204">
        <v>1.4999999999999999E-2</v>
      </c>
      <c r="I47" s="197">
        <f t="shared" si="0"/>
        <v>70.930000000000007</v>
      </c>
      <c r="J47" s="490" t="s">
        <v>597</v>
      </c>
      <c r="K47" s="491"/>
      <c r="L47" s="491"/>
      <c r="M47" s="491"/>
      <c r="N47" s="492"/>
    </row>
    <row r="48" spans="1:14">
      <c r="A48" s="195" t="s">
        <v>577</v>
      </c>
      <c r="B48" s="461" t="s">
        <v>598</v>
      </c>
      <c r="C48" s="461"/>
      <c r="D48" s="461"/>
      <c r="E48" s="461"/>
      <c r="F48" s="461"/>
      <c r="G48" s="461"/>
      <c r="H48" s="204">
        <v>0.01</v>
      </c>
      <c r="I48" s="197">
        <f t="shared" si="0"/>
        <v>47.28</v>
      </c>
      <c r="J48" s="490" t="s">
        <v>599</v>
      </c>
      <c r="K48" s="491"/>
      <c r="L48" s="491"/>
      <c r="M48" s="491"/>
      <c r="N48" s="492"/>
    </row>
    <row r="49" spans="1:14">
      <c r="A49" s="195" t="s">
        <v>579</v>
      </c>
      <c r="B49" s="461" t="s">
        <v>600</v>
      </c>
      <c r="C49" s="461"/>
      <c r="D49" s="461"/>
      <c r="E49" s="461"/>
      <c r="F49" s="461"/>
      <c r="G49" s="461"/>
      <c r="H49" s="204">
        <v>6.0000000000000001E-3</v>
      </c>
      <c r="I49" s="197">
        <f t="shared" si="0"/>
        <v>28.37</v>
      </c>
      <c r="J49" s="490" t="s">
        <v>601</v>
      </c>
      <c r="K49" s="491"/>
      <c r="L49" s="491"/>
      <c r="M49" s="491"/>
      <c r="N49" s="492"/>
    </row>
    <row r="50" spans="1:14">
      <c r="A50" s="195" t="s">
        <v>602</v>
      </c>
      <c r="B50" s="461" t="s">
        <v>603</v>
      </c>
      <c r="C50" s="461"/>
      <c r="D50" s="461"/>
      <c r="E50" s="461"/>
      <c r="F50" s="461"/>
      <c r="G50" s="461"/>
      <c r="H50" s="204">
        <v>2E-3</v>
      </c>
      <c r="I50" s="197">
        <f t="shared" si="0"/>
        <v>9.4499999999999993</v>
      </c>
      <c r="J50" s="490" t="s">
        <v>604</v>
      </c>
      <c r="K50" s="491"/>
      <c r="L50" s="491"/>
      <c r="M50" s="491"/>
      <c r="N50" s="492"/>
    </row>
    <row r="51" spans="1:14">
      <c r="A51" s="195" t="s">
        <v>605</v>
      </c>
      <c r="B51" s="461" t="s">
        <v>606</v>
      </c>
      <c r="C51" s="461"/>
      <c r="D51" s="461"/>
      <c r="E51" s="461"/>
      <c r="F51" s="461"/>
      <c r="G51" s="461"/>
      <c r="H51" s="204">
        <v>0.08</v>
      </c>
      <c r="I51" s="197">
        <f t="shared" si="0"/>
        <v>378.31</v>
      </c>
      <c r="J51" s="490" t="s">
        <v>607</v>
      </c>
      <c r="K51" s="491"/>
      <c r="L51" s="491"/>
      <c r="M51" s="491"/>
      <c r="N51" s="492"/>
    </row>
    <row r="52" spans="1:14">
      <c r="A52" s="460" t="s">
        <v>608</v>
      </c>
      <c r="B52" s="460"/>
      <c r="C52" s="460"/>
      <c r="D52" s="460"/>
      <c r="E52" s="460"/>
      <c r="F52" s="460"/>
      <c r="G52" s="460"/>
      <c r="H52" s="206">
        <v>0.36800000000000005</v>
      </c>
      <c r="I52" s="200">
        <f>SUM(I44:I51)</f>
        <v>1740.2099999999998</v>
      </c>
      <c r="J52" s="202"/>
    </row>
    <row r="53" spans="1:14">
      <c r="A53" s="485"/>
      <c r="B53" s="485"/>
      <c r="C53" s="485"/>
      <c r="D53" s="485"/>
      <c r="E53" s="485"/>
      <c r="F53" s="485"/>
      <c r="G53" s="485"/>
      <c r="H53" s="485"/>
      <c r="I53" s="486"/>
      <c r="J53" s="202"/>
    </row>
    <row r="54" spans="1:14">
      <c r="A54" s="460" t="s">
        <v>609</v>
      </c>
      <c r="B54" s="460"/>
      <c r="C54" s="460"/>
      <c r="D54" s="460"/>
      <c r="E54" s="460"/>
      <c r="F54" s="460"/>
      <c r="G54" s="460"/>
      <c r="H54" s="206"/>
      <c r="I54" s="195" t="s">
        <v>570</v>
      </c>
      <c r="J54" s="202"/>
    </row>
    <row r="55" spans="1:14">
      <c r="A55" s="195" t="s">
        <v>542</v>
      </c>
      <c r="B55" s="473" t="s">
        <v>610</v>
      </c>
      <c r="C55" s="473"/>
      <c r="D55" s="473"/>
      <c r="E55" s="473"/>
      <c r="F55" s="473"/>
      <c r="G55" s="473"/>
      <c r="H55" s="193" t="s">
        <v>534</v>
      </c>
      <c r="I55" s="209">
        <f>TRUNC((5.5*2*15),2)</f>
        <v>165</v>
      </c>
      <c r="J55" s="487" t="s">
        <v>611</v>
      </c>
      <c r="K55" s="488"/>
      <c r="L55" s="488"/>
      <c r="M55" s="488"/>
      <c r="N55" s="489"/>
    </row>
    <row r="56" spans="1:14">
      <c r="A56" s="195" t="s">
        <v>544</v>
      </c>
      <c r="B56" s="473" t="s">
        <v>612</v>
      </c>
      <c r="C56" s="473"/>
      <c r="D56" s="473"/>
      <c r="E56" s="473"/>
      <c r="F56" s="473"/>
      <c r="G56" s="473"/>
      <c r="H56" s="193" t="s">
        <v>534</v>
      </c>
      <c r="I56" s="209">
        <f>TRUNC(((47.37-0.94)*15),2)</f>
        <v>696.45</v>
      </c>
      <c r="J56" s="479" t="s">
        <v>613</v>
      </c>
      <c r="K56" s="480"/>
      <c r="L56" s="480"/>
      <c r="M56" s="480"/>
      <c r="N56" s="481"/>
    </row>
    <row r="57" spans="1:14" ht="23.25" customHeight="1">
      <c r="A57" s="195" t="s">
        <v>547</v>
      </c>
      <c r="B57" s="473" t="s">
        <v>614</v>
      </c>
      <c r="C57" s="473"/>
      <c r="D57" s="473"/>
      <c r="E57" s="473"/>
      <c r="F57" s="473"/>
      <c r="G57" s="473"/>
      <c r="H57" s="193" t="s">
        <v>534</v>
      </c>
      <c r="I57" s="209">
        <v>0</v>
      </c>
      <c r="J57" s="479" t="s">
        <v>615</v>
      </c>
      <c r="K57" s="480"/>
      <c r="L57" s="480"/>
      <c r="M57" s="480"/>
      <c r="N57" s="481"/>
    </row>
    <row r="58" spans="1:14">
      <c r="A58" s="195" t="s">
        <v>550</v>
      </c>
      <c r="B58" s="473" t="s">
        <v>617</v>
      </c>
      <c r="C58" s="473"/>
      <c r="D58" s="473"/>
      <c r="E58" s="473"/>
      <c r="F58" s="473"/>
      <c r="G58" s="473"/>
      <c r="H58" s="193" t="s">
        <v>534</v>
      </c>
      <c r="I58" s="209">
        <f>'Seguro de Vida'!M9</f>
        <v>11.91</v>
      </c>
      <c r="J58" s="479" t="s">
        <v>618</v>
      </c>
      <c r="K58" s="480"/>
      <c r="L58" s="480"/>
      <c r="M58" s="480"/>
      <c r="N58" s="481"/>
    </row>
    <row r="59" spans="1:14">
      <c r="A59" s="195" t="s">
        <v>577</v>
      </c>
      <c r="B59" s="482" t="s">
        <v>619</v>
      </c>
      <c r="C59" s="483"/>
      <c r="D59" s="483"/>
      <c r="E59" s="483"/>
      <c r="F59" s="483"/>
      <c r="G59" s="484"/>
      <c r="H59" s="193" t="s">
        <v>534</v>
      </c>
      <c r="I59" s="209">
        <v>0</v>
      </c>
      <c r="J59" s="479" t="s">
        <v>620</v>
      </c>
      <c r="K59" s="480"/>
      <c r="L59" s="480"/>
      <c r="M59" s="480"/>
      <c r="N59" s="481"/>
    </row>
    <row r="60" spans="1:14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14">
      <c r="A61" s="460" t="s">
        <v>622</v>
      </c>
      <c r="B61" s="460"/>
      <c r="C61" s="460"/>
      <c r="D61" s="460"/>
      <c r="E61" s="460"/>
      <c r="F61" s="460"/>
      <c r="G61" s="460"/>
      <c r="H61" s="460"/>
      <c r="I61" s="200">
        <f>SUM(I55:I60)</f>
        <v>994.06000000000006</v>
      </c>
      <c r="J61" s="202"/>
    </row>
    <row r="62" spans="1:14">
      <c r="A62" s="486"/>
      <c r="B62" s="475"/>
      <c r="C62" s="475"/>
      <c r="D62" s="475"/>
      <c r="E62" s="475"/>
      <c r="F62" s="475"/>
      <c r="G62" s="475"/>
      <c r="H62" s="475"/>
      <c r="I62" s="475"/>
      <c r="J62" s="202"/>
    </row>
    <row r="63" spans="1:14">
      <c r="A63" s="467" t="s">
        <v>623</v>
      </c>
      <c r="B63" s="467"/>
      <c r="C63" s="467"/>
      <c r="D63" s="467"/>
      <c r="E63" s="467"/>
      <c r="F63" s="467"/>
      <c r="G63" s="467"/>
      <c r="H63" s="467"/>
      <c r="I63" s="467"/>
      <c r="J63" s="202"/>
    </row>
    <row r="64" spans="1:14">
      <c r="A64" s="460" t="s">
        <v>624</v>
      </c>
      <c r="B64" s="460"/>
      <c r="C64" s="460"/>
      <c r="D64" s="460"/>
      <c r="E64" s="460"/>
      <c r="F64" s="460"/>
      <c r="G64" s="460"/>
      <c r="H64" s="460"/>
      <c r="I64" s="195" t="s">
        <v>570</v>
      </c>
      <c r="J64" s="202"/>
    </row>
    <row r="65" spans="1:10">
      <c r="A65" s="195" t="s">
        <v>625</v>
      </c>
      <c r="B65" s="461" t="s">
        <v>626</v>
      </c>
      <c r="C65" s="461"/>
      <c r="D65" s="461"/>
      <c r="E65" s="461"/>
      <c r="F65" s="461"/>
      <c r="G65" s="461"/>
      <c r="H65" s="461"/>
      <c r="I65" s="197">
        <f>I41</f>
        <v>802.34</v>
      </c>
      <c r="J65" s="202"/>
    </row>
    <row r="66" spans="1:10">
      <c r="A66" s="195" t="s">
        <v>627</v>
      </c>
      <c r="B66" s="461" t="s">
        <v>628</v>
      </c>
      <c r="C66" s="461"/>
      <c r="D66" s="461"/>
      <c r="E66" s="461"/>
      <c r="F66" s="461"/>
      <c r="G66" s="461"/>
      <c r="H66" s="461"/>
      <c r="I66" s="197">
        <f>I52</f>
        <v>1740.2099999999998</v>
      </c>
      <c r="J66" s="202"/>
    </row>
    <row r="67" spans="1:10">
      <c r="A67" s="195" t="s">
        <v>629</v>
      </c>
      <c r="B67" s="461" t="s">
        <v>630</v>
      </c>
      <c r="C67" s="461"/>
      <c r="D67" s="461"/>
      <c r="E67" s="461"/>
      <c r="F67" s="461"/>
      <c r="G67" s="461"/>
      <c r="H67" s="461"/>
      <c r="I67" s="197">
        <f>I61</f>
        <v>994.06000000000006</v>
      </c>
      <c r="J67" s="202"/>
    </row>
    <row r="68" spans="1:10">
      <c r="A68" s="460" t="s">
        <v>631</v>
      </c>
      <c r="B68" s="460"/>
      <c r="C68" s="460"/>
      <c r="D68" s="460"/>
      <c r="E68" s="460"/>
      <c r="F68" s="460"/>
      <c r="G68" s="460"/>
      <c r="H68" s="460"/>
      <c r="I68" s="200">
        <f>SUM(I65:I67)</f>
        <v>3536.6099999999997</v>
      </c>
      <c r="J68" s="202"/>
    </row>
    <row r="69" spans="1:10">
      <c r="A69" s="470"/>
      <c r="B69" s="471"/>
      <c r="C69" s="471"/>
      <c r="D69" s="471"/>
      <c r="E69" s="471"/>
      <c r="F69" s="471"/>
      <c r="G69" s="471"/>
      <c r="H69" s="471"/>
      <c r="I69" s="471"/>
      <c r="J69" s="202"/>
    </row>
    <row r="70" spans="1:10">
      <c r="A70" s="472" t="s">
        <v>632</v>
      </c>
      <c r="B70" s="472"/>
      <c r="C70" s="472"/>
      <c r="D70" s="472"/>
      <c r="E70" s="472"/>
      <c r="F70" s="472"/>
      <c r="G70" s="472"/>
      <c r="H70" s="472"/>
      <c r="I70" s="472"/>
      <c r="J70" s="202"/>
    </row>
    <row r="71" spans="1:10">
      <c r="A71" s="195">
        <v>3</v>
      </c>
      <c r="B71" s="460" t="s">
        <v>633</v>
      </c>
      <c r="C71" s="460"/>
      <c r="D71" s="460"/>
      <c r="E71" s="460"/>
      <c r="F71" s="460"/>
      <c r="G71" s="460"/>
      <c r="H71" s="195" t="s">
        <v>569</v>
      </c>
      <c r="I71" s="195" t="s">
        <v>570</v>
      </c>
      <c r="J71" s="202"/>
    </row>
    <row r="72" spans="1:10">
      <c r="A72" s="195" t="s">
        <v>542</v>
      </c>
      <c r="B72" s="461" t="s">
        <v>634</v>
      </c>
      <c r="C72" s="461"/>
      <c r="D72" s="461"/>
      <c r="E72" s="461"/>
      <c r="F72" s="461"/>
      <c r="G72" s="461"/>
      <c r="H72" s="204">
        <f>(1/12)*5.5%</f>
        <v>4.5833333333333334E-3</v>
      </c>
      <c r="I72" s="197">
        <f>TRUNC(H72*$I$35,2)</f>
        <v>17.989999999999998</v>
      </c>
      <c r="J72" s="202"/>
    </row>
    <row r="73" spans="1:10">
      <c r="A73" s="195" t="s">
        <v>544</v>
      </c>
      <c r="B73" s="461" t="s">
        <v>635</v>
      </c>
      <c r="C73" s="461"/>
      <c r="D73" s="461"/>
      <c r="E73" s="461"/>
      <c r="F73" s="461"/>
      <c r="G73" s="461"/>
      <c r="H73" s="204">
        <f>H51*H72</f>
        <v>3.6666666666666667E-4</v>
      </c>
      <c r="I73" s="197">
        <f>TRUNC(H73*$I$35,2)</f>
        <v>1.43</v>
      </c>
      <c r="J73" s="202"/>
    </row>
    <row r="74" spans="1:10">
      <c r="A74" s="195" t="s">
        <v>547</v>
      </c>
      <c r="B74" s="461" t="s">
        <v>636</v>
      </c>
      <c r="C74" s="461"/>
      <c r="D74" s="461"/>
      <c r="E74" s="461"/>
      <c r="F74" s="461"/>
      <c r="G74" s="461"/>
      <c r="H74" s="204">
        <f>((7/30)/12)</f>
        <v>1.9444444444444445E-2</v>
      </c>
      <c r="I74" s="197">
        <f>TRUNC(H74*$I$35,2)</f>
        <v>76.349999999999994</v>
      </c>
      <c r="J74" s="202"/>
    </row>
    <row r="75" spans="1:10">
      <c r="A75" s="195" t="s">
        <v>550</v>
      </c>
      <c r="B75" s="461" t="s">
        <v>637</v>
      </c>
      <c r="C75" s="461"/>
      <c r="D75" s="461"/>
      <c r="E75" s="461"/>
      <c r="F75" s="461"/>
      <c r="G75" s="461"/>
      <c r="H75" s="205">
        <f>H52*H74</f>
        <v>7.1555555555555565E-3</v>
      </c>
      <c r="I75" s="197">
        <f>TRUNC(H75*$I$35,2)</f>
        <v>28.09</v>
      </c>
      <c r="J75" s="202"/>
    </row>
    <row r="76" spans="1:10" ht="24.75" customHeight="1">
      <c r="A76" s="195" t="s">
        <v>577</v>
      </c>
      <c r="B76" s="425" t="s">
        <v>638</v>
      </c>
      <c r="C76" s="425"/>
      <c r="D76" s="425"/>
      <c r="E76" s="425"/>
      <c r="F76" s="425"/>
      <c r="G76" s="425"/>
      <c r="H76" s="204">
        <v>0.04</v>
      </c>
      <c r="I76" s="197">
        <f>TRUNC(H76*$I$35,2)</f>
        <v>157.06</v>
      </c>
      <c r="J76" s="202"/>
    </row>
    <row r="77" spans="1:10">
      <c r="A77" s="460" t="s">
        <v>639</v>
      </c>
      <c r="B77" s="460"/>
      <c r="C77" s="460"/>
      <c r="D77" s="460"/>
      <c r="E77" s="460"/>
      <c r="F77" s="460"/>
      <c r="G77" s="460"/>
      <c r="H77" s="206">
        <v>8.1000000000000003E-2</v>
      </c>
      <c r="I77" s="200">
        <f>SUM(I72:I76)</f>
        <v>280.92</v>
      </c>
      <c r="J77" s="202"/>
    </row>
    <row r="78" spans="1:10">
      <c r="A78" s="443"/>
      <c r="B78" s="478"/>
      <c r="C78" s="478"/>
      <c r="D78" s="478"/>
      <c r="E78" s="478"/>
      <c r="F78" s="478"/>
      <c r="G78" s="478"/>
      <c r="H78" s="478"/>
      <c r="I78" s="478"/>
      <c r="J78" s="202"/>
    </row>
    <row r="79" spans="1:10">
      <c r="A79" s="472" t="s">
        <v>640</v>
      </c>
      <c r="B79" s="472"/>
      <c r="C79" s="472"/>
      <c r="D79" s="472"/>
      <c r="E79" s="472"/>
      <c r="F79" s="472"/>
      <c r="G79" s="472"/>
      <c r="H79" s="472"/>
      <c r="I79" s="472"/>
      <c r="J79" s="202"/>
    </row>
    <row r="80" spans="1:10">
      <c r="A80" s="460" t="s">
        <v>641</v>
      </c>
      <c r="B80" s="460"/>
      <c r="C80" s="460"/>
      <c r="D80" s="460"/>
      <c r="E80" s="460"/>
      <c r="F80" s="460"/>
      <c r="G80" s="460"/>
      <c r="H80" s="195" t="s">
        <v>569</v>
      </c>
      <c r="I80" s="195" t="s">
        <v>570</v>
      </c>
      <c r="J80" s="202"/>
    </row>
    <row r="81" spans="1:10">
      <c r="A81" s="195" t="s">
        <v>542</v>
      </c>
      <c r="B81" s="461" t="s">
        <v>642</v>
      </c>
      <c r="C81" s="461"/>
      <c r="D81" s="461"/>
      <c r="E81" s="461"/>
      <c r="F81" s="461"/>
      <c r="G81" s="461"/>
      <c r="H81" s="204">
        <f>((1/12)+(1/12)+((1/12)/3))/12</f>
        <v>1.6203703703703703E-2</v>
      </c>
      <c r="I81" s="197">
        <f>TRUNC($I$35*H81,2)</f>
        <v>63.62</v>
      </c>
      <c r="J81" s="202"/>
    </row>
    <row r="82" spans="1:10">
      <c r="A82" s="195" t="s">
        <v>544</v>
      </c>
      <c r="B82" s="461" t="s">
        <v>643</v>
      </c>
      <c r="C82" s="461"/>
      <c r="D82" s="461"/>
      <c r="E82" s="461"/>
      <c r="F82" s="461"/>
      <c r="G82" s="461"/>
      <c r="H82" s="204">
        <f>(1/30)/12</f>
        <v>2.7777777777777779E-3</v>
      </c>
      <c r="I82" s="197">
        <f>TRUNC($I$35*H82,2)</f>
        <v>10.9</v>
      </c>
      <c r="J82" s="202"/>
    </row>
    <row r="83" spans="1:10">
      <c r="A83" s="195" t="s">
        <v>547</v>
      </c>
      <c r="B83" s="461" t="s">
        <v>644</v>
      </c>
      <c r="C83" s="461"/>
      <c r="D83" s="461"/>
      <c r="E83" s="461"/>
      <c r="F83" s="461"/>
      <c r="G83" s="461"/>
      <c r="H83" s="204">
        <f>((5/30)/12)*1.5%</f>
        <v>2.0833333333333332E-4</v>
      </c>
      <c r="I83" s="197">
        <f>TRUNC($I$35*H83,2)</f>
        <v>0.81</v>
      </c>
      <c r="J83" s="202"/>
    </row>
    <row r="84" spans="1:10">
      <c r="A84" s="195" t="s">
        <v>550</v>
      </c>
      <c r="B84" s="461" t="s">
        <v>645</v>
      </c>
      <c r="C84" s="461"/>
      <c r="D84" s="461"/>
      <c r="E84" s="461"/>
      <c r="F84" s="461"/>
      <c r="G84" s="461"/>
      <c r="H84" s="204">
        <f>((15/30)/12)*8%</f>
        <v>3.3333333333333331E-3</v>
      </c>
      <c r="I84" s="197">
        <f>TRUNC($I$35*H84,2)</f>
        <v>13.08</v>
      </c>
      <c r="J84" s="202"/>
    </row>
    <row r="85" spans="1:10">
      <c r="A85" s="195" t="s">
        <v>577</v>
      </c>
      <c r="B85" s="461" t="s">
        <v>646</v>
      </c>
      <c r="C85" s="461"/>
      <c r="D85" s="461"/>
      <c r="E85" s="461"/>
      <c r="F85" s="461"/>
      <c r="G85" s="461"/>
      <c r="H85" s="204">
        <f>(((4*8.33%)+(4*2.78%))/12)*2%</f>
        <v>7.4066666666666671E-4</v>
      </c>
      <c r="I85" s="197">
        <f>TRUNC($I$35*H85,2)</f>
        <v>2.9</v>
      </c>
      <c r="J85" s="202"/>
    </row>
    <row r="86" spans="1:10">
      <c r="A86" s="195" t="s">
        <v>579</v>
      </c>
      <c r="B86" s="461" t="s">
        <v>647</v>
      </c>
      <c r="C86" s="461"/>
      <c r="D86" s="461"/>
      <c r="E86" s="461"/>
      <c r="F86" s="461"/>
      <c r="G86" s="461"/>
      <c r="H86" s="204">
        <v>0</v>
      </c>
      <c r="I86" s="197">
        <f>TRUNC(($I$35+$I$68+$I$77)*H86,2)</f>
        <v>0</v>
      </c>
      <c r="J86" s="202"/>
    </row>
    <row r="87" spans="1:10">
      <c r="A87" s="460" t="s">
        <v>648</v>
      </c>
      <c r="B87" s="460"/>
      <c r="C87" s="460"/>
      <c r="D87" s="460"/>
      <c r="E87" s="460"/>
      <c r="F87" s="460"/>
      <c r="G87" s="460"/>
      <c r="H87" s="206">
        <f>SUM(H81:H86)</f>
        <v>2.3263814814814817E-2</v>
      </c>
      <c r="I87" s="200">
        <f>SUM(I81:I86)</f>
        <v>91.31</v>
      </c>
      <c r="J87" s="202"/>
    </row>
    <row r="88" spans="1:10">
      <c r="A88" s="474"/>
      <c r="B88" s="475"/>
      <c r="C88" s="475"/>
      <c r="D88" s="475"/>
      <c r="E88" s="475"/>
      <c r="F88" s="475"/>
      <c r="G88" s="475"/>
      <c r="H88" s="475"/>
      <c r="I88" s="475"/>
      <c r="J88" s="202"/>
    </row>
    <row r="89" spans="1:10">
      <c r="A89" s="460" t="s">
        <v>649</v>
      </c>
      <c r="B89" s="460"/>
      <c r="C89" s="460"/>
      <c r="D89" s="460"/>
      <c r="E89" s="460"/>
      <c r="F89" s="460"/>
      <c r="G89" s="460"/>
      <c r="H89" s="195" t="s">
        <v>569</v>
      </c>
      <c r="I89" s="195" t="s">
        <v>570</v>
      </c>
      <c r="J89" s="202"/>
    </row>
    <row r="90" spans="1:10">
      <c r="A90" s="195" t="s">
        <v>542</v>
      </c>
      <c r="B90" s="425" t="s">
        <v>650</v>
      </c>
      <c r="C90" s="461"/>
      <c r="D90" s="461"/>
      <c r="E90" s="461"/>
      <c r="F90" s="461"/>
      <c r="G90" s="461"/>
      <c r="H90" s="204">
        <v>0</v>
      </c>
      <c r="I90" s="197">
        <v>0</v>
      </c>
      <c r="J90" s="202"/>
    </row>
    <row r="91" spans="1:10">
      <c r="A91" s="460" t="s">
        <v>651</v>
      </c>
      <c r="B91" s="460"/>
      <c r="C91" s="460"/>
      <c r="D91" s="460"/>
      <c r="E91" s="460"/>
      <c r="F91" s="460"/>
      <c r="G91" s="460"/>
      <c r="H91" s="206">
        <v>0</v>
      </c>
      <c r="I91" s="200">
        <v>0</v>
      </c>
      <c r="J91" s="202"/>
    </row>
    <row r="92" spans="1:10">
      <c r="A92" s="476"/>
      <c r="B92" s="477"/>
      <c r="C92" s="477"/>
      <c r="D92" s="477"/>
      <c r="E92" s="477"/>
      <c r="F92" s="477"/>
      <c r="G92" s="477"/>
      <c r="H92" s="477"/>
      <c r="I92" s="477"/>
      <c r="J92" s="202"/>
    </row>
    <row r="93" spans="1:10">
      <c r="A93" s="467" t="s">
        <v>652</v>
      </c>
      <c r="B93" s="467"/>
      <c r="C93" s="467"/>
      <c r="D93" s="467"/>
      <c r="E93" s="467"/>
      <c r="F93" s="467"/>
      <c r="G93" s="467"/>
      <c r="H93" s="467"/>
      <c r="I93" s="467"/>
      <c r="J93" s="202"/>
    </row>
    <row r="94" spans="1:10">
      <c r="A94" s="460" t="s">
        <v>653</v>
      </c>
      <c r="B94" s="460"/>
      <c r="C94" s="460"/>
      <c r="D94" s="460"/>
      <c r="E94" s="460"/>
      <c r="F94" s="460"/>
      <c r="G94" s="460"/>
      <c r="H94" s="460"/>
      <c r="I94" s="195" t="s">
        <v>570</v>
      </c>
      <c r="J94" s="202"/>
    </row>
    <row r="95" spans="1:10">
      <c r="A95" s="195" t="s">
        <v>654</v>
      </c>
      <c r="B95" s="461" t="s">
        <v>655</v>
      </c>
      <c r="C95" s="461"/>
      <c r="D95" s="461"/>
      <c r="E95" s="461"/>
      <c r="F95" s="461"/>
      <c r="G95" s="461"/>
      <c r="H95" s="461"/>
      <c r="I95" s="197">
        <f>I87</f>
        <v>91.31</v>
      </c>
      <c r="J95" s="202"/>
    </row>
    <row r="96" spans="1:10">
      <c r="A96" s="195" t="s">
        <v>656</v>
      </c>
      <c r="B96" s="461" t="s">
        <v>657</v>
      </c>
      <c r="C96" s="461"/>
      <c r="D96" s="461"/>
      <c r="E96" s="461"/>
      <c r="F96" s="461"/>
      <c r="G96" s="461"/>
      <c r="H96" s="461"/>
      <c r="I96" s="197">
        <f>I91</f>
        <v>0</v>
      </c>
      <c r="J96" s="202"/>
    </row>
    <row r="97" spans="1:10">
      <c r="A97" s="460" t="s">
        <v>658</v>
      </c>
      <c r="B97" s="460"/>
      <c r="C97" s="460"/>
      <c r="D97" s="460"/>
      <c r="E97" s="460"/>
      <c r="F97" s="460"/>
      <c r="G97" s="460"/>
      <c r="H97" s="460"/>
      <c r="I97" s="200">
        <f>SUM(I95:I96)</f>
        <v>91.31</v>
      </c>
      <c r="J97" s="202"/>
    </row>
    <row r="98" spans="1:10">
      <c r="A98" s="470"/>
      <c r="B98" s="471"/>
      <c r="C98" s="471"/>
      <c r="D98" s="471"/>
      <c r="E98" s="471"/>
      <c r="F98" s="471"/>
      <c r="G98" s="471"/>
      <c r="H98" s="471"/>
      <c r="I98" s="471"/>
      <c r="J98" s="202"/>
    </row>
    <row r="99" spans="1:10">
      <c r="A99" s="472" t="s">
        <v>659</v>
      </c>
      <c r="B99" s="472"/>
      <c r="C99" s="472"/>
      <c r="D99" s="472"/>
      <c r="E99" s="472"/>
      <c r="F99" s="472"/>
      <c r="G99" s="472"/>
      <c r="H99" s="472"/>
      <c r="I99" s="472"/>
      <c r="J99" s="202"/>
    </row>
    <row r="100" spans="1:10">
      <c r="A100" s="195">
        <v>5</v>
      </c>
      <c r="B100" s="460" t="s">
        <v>660</v>
      </c>
      <c r="C100" s="460"/>
      <c r="D100" s="460"/>
      <c r="E100" s="460"/>
      <c r="F100" s="460"/>
      <c r="G100" s="460"/>
      <c r="H100" s="195"/>
      <c r="I100" s="195" t="s">
        <v>570</v>
      </c>
      <c r="J100" s="202"/>
    </row>
    <row r="101" spans="1:10">
      <c r="A101" s="195" t="s">
        <v>542</v>
      </c>
      <c r="B101" s="473" t="s">
        <v>661</v>
      </c>
      <c r="C101" s="473"/>
      <c r="D101" s="473"/>
      <c r="E101" s="473"/>
      <c r="F101" s="473"/>
      <c r="G101" s="473"/>
      <c r="H101" s="193" t="s">
        <v>534</v>
      </c>
      <c r="I101" s="197">
        <f>Resumo!E32</f>
        <v>306.22166666666669</v>
      </c>
      <c r="J101" s="202"/>
    </row>
    <row r="102" spans="1:10">
      <c r="A102" s="195" t="s">
        <v>544</v>
      </c>
      <c r="B102" s="473" t="s">
        <v>662</v>
      </c>
      <c r="C102" s="473"/>
      <c r="D102" s="473"/>
      <c r="E102" s="473"/>
      <c r="F102" s="473"/>
      <c r="G102" s="473"/>
      <c r="H102" s="193" t="s">
        <v>534</v>
      </c>
      <c r="I102" s="197">
        <f>Resumo!F91</f>
        <v>21.940944444444444</v>
      </c>
      <c r="J102" s="202"/>
    </row>
    <row r="103" spans="1:10">
      <c r="A103" s="208" t="s">
        <v>547</v>
      </c>
      <c r="B103" s="473" t="s">
        <v>663</v>
      </c>
      <c r="C103" s="473"/>
      <c r="D103" s="473"/>
      <c r="E103" s="473"/>
      <c r="F103" s="473"/>
      <c r="G103" s="473"/>
      <c r="H103" s="193" t="s">
        <v>534</v>
      </c>
      <c r="I103" s="197">
        <f>Resumo!F56</f>
        <v>8.3808124999999993</v>
      </c>
      <c r="J103" s="202"/>
    </row>
    <row r="104" spans="1:10">
      <c r="A104" s="208" t="s">
        <v>550</v>
      </c>
      <c r="B104" s="473" t="s">
        <v>580</v>
      </c>
      <c r="C104" s="473"/>
      <c r="D104" s="473"/>
      <c r="E104" s="473"/>
      <c r="F104" s="473"/>
      <c r="G104" s="473"/>
      <c r="H104" s="193" t="s">
        <v>534</v>
      </c>
      <c r="I104" s="197">
        <v>0</v>
      </c>
      <c r="J104" s="202"/>
    </row>
    <row r="105" spans="1:10">
      <c r="A105" s="460" t="s">
        <v>664</v>
      </c>
      <c r="B105" s="460"/>
      <c r="C105" s="460"/>
      <c r="D105" s="460"/>
      <c r="E105" s="460"/>
      <c r="F105" s="460"/>
      <c r="G105" s="460"/>
      <c r="H105" s="206" t="s">
        <v>534</v>
      </c>
      <c r="I105" s="200">
        <f>SUM(I101:I104)</f>
        <v>336.54342361111111</v>
      </c>
      <c r="J105" s="202"/>
    </row>
    <row r="106" spans="1:10">
      <c r="A106" s="470"/>
      <c r="B106" s="471"/>
      <c r="C106" s="471"/>
      <c r="D106" s="471"/>
      <c r="E106" s="471"/>
      <c r="F106" s="471"/>
      <c r="G106" s="471"/>
      <c r="H106" s="471"/>
      <c r="I106" s="471"/>
      <c r="J106" s="202"/>
    </row>
    <row r="107" spans="1:10">
      <c r="A107" s="472" t="s">
        <v>665</v>
      </c>
      <c r="B107" s="472"/>
      <c r="C107" s="472"/>
      <c r="D107" s="472"/>
      <c r="E107" s="472"/>
      <c r="F107" s="472"/>
      <c r="G107" s="472"/>
      <c r="H107" s="472"/>
      <c r="I107" s="472"/>
      <c r="J107" s="202"/>
    </row>
    <row r="108" spans="1:10">
      <c r="A108" s="195">
        <v>6</v>
      </c>
      <c r="B108" s="460" t="s">
        <v>666</v>
      </c>
      <c r="C108" s="460"/>
      <c r="D108" s="460"/>
      <c r="E108" s="460"/>
      <c r="F108" s="460"/>
      <c r="G108" s="460"/>
      <c r="H108" s="195" t="s">
        <v>569</v>
      </c>
      <c r="I108" s="195" t="s">
        <v>570</v>
      </c>
      <c r="J108" s="202"/>
    </row>
    <row r="109" spans="1:10">
      <c r="A109" s="195" t="s">
        <v>542</v>
      </c>
      <c r="B109" s="461" t="s">
        <v>667</v>
      </c>
      <c r="C109" s="461"/>
      <c r="D109" s="461"/>
      <c r="E109" s="461"/>
      <c r="F109" s="461"/>
      <c r="G109" s="461"/>
      <c r="H109" s="216">
        <v>0.06</v>
      </c>
      <c r="I109" s="197">
        <f>TRUNC((($I$35+$I$68+$I$77+$I$97+$I$105)*H109),2)</f>
        <v>490.32</v>
      </c>
      <c r="J109" s="202"/>
    </row>
    <row r="110" spans="1:10">
      <c r="A110" s="195" t="s">
        <v>544</v>
      </c>
      <c r="B110" s="461" t="s">
        <v>668</v>
      </c>
      <c r="C110" s="461"/>
      <c r="D110" s="461"/>
      <c r="E110" s="461"/>
      <c r="F110" s="461"/>
      <c r="G110" s="461"/>
      <c r="H110" s="216">
        <v>6.7900000000000002E-2</v>
      </c>
      <c r="I110" s="197">
        <f>TRUNC((($I$35+$I$68+$I$77+$I$97+$I$105+I109)*H110),2)</f>
        <v>588.16999999999996</v>
      </c>
      <c r="J110" s="202"/>
    </row>
    <row r="111" spans="1:10">
      <c r="A111" s="195" t="s">
        <v>547</v>
      </c>
      <c r="B111" s="468" t="s">
        <v>669</v>
      </c>
      <c r="C111" s="468"/>
      <c r="D111" s="468"/>
      <c r="E111" s="468"/>
      <c r="F111" s="468"/>
      <c r="G111" s="468"/>
      <c r="H111" s="198"/>
      <c r="I111" s="217"/>
      <c r="J111" s="202"/>
    </row>
    <row r="112" spans="1:10">
      <c r="A112" s="195" t="s">
        <v>670</v>
      </c>
      <c r="B112" s="461" t="s">
        <v>671</v>
      </c>
      <c r="C112" s="461"/>
      <c r="D112" s="461"/>
      <c r="E112" s="461"/>
      <c r="F112" s="461"/>
      <c r="G112" s="461"/>
      <c r="H112" s="218">
        <v>6.4999999999999997E-3</v>
      </c>
      <c r="I112" s="197">
        <f>TRUNC(H112*I122,2)</f>
        <v>65.819999999999993</v>
      </c>
      <c r="J112" s="202"/>
    </row>
    <row r="113" spans="1:10">
      <c r="A113" s="195" t="s">
        <v>672</v>
      </c>
      <c r="B113" s="461" t="s">
        <v>673</v>
      </c>
      <c r="C113" s="461"/>
      <c r="D113" s="461"/>
      <c r="E113" s="461"/>
      <c r="F113" s="461"/>
      <c r="G113" s="461"/>
      <c r="H113" s="218">
        <v>0.03</v>
      </c>
      <c r="I113" s="197">
        <f>TRUNC(H113*I122,2)</f>
        <v>303.79000000000002</v>
      </c>
      <c r="J113" s="202"/>
    </row>
    <row r="114" spans="1:10">
      <c r="A114" s="195" t="s">
        <v>674</v>
      </c>
      <c r="B114" s="461" t="s">
        <v>675</v>
      </c>
      <c r="C114" s="461"/>
      <c r="D114" s="461"/>
      <c r="E114" s="461"/>
      <c r="F114" s="461"/>
      <c r="G114" s="461"/>
      <c r="H114" s="218">
        <v>0.05</v>
      </c>
      <c r="I114" s="197">
        <f>TRUNC(H114*I122,2)</f>
        <v>506.32</v>
      </c>
      <c r="J114" s="219"/>
    </row>
    <row r="115" spans="1:10">
      <c r="A115" s="460" t="s">
        <v>676</v>
      </c>
      <c r="B115" s="460"/>
      <c r="C115" s="460"/>
      <c r="D115" s="460"/>
      <c r="E115" s="460"/>
      <c r="F115" s="460"/>
      <c r="G115" s="460"/>
      <c r="H115" s="218">
        <f>SUM(H109:H114)</f>
        <v>0.21440000000000003</v>
      </c>
      <c r="I115" s="200">
        <f>SUM(I109:I114)</f>
        <v>1954.4199999999998</v>
      </c>
      <c r="J115" s="202"/>
    </row>
    <row r="116" spans="1:10">
      <c r="A116" s="191"/>
      <c r="B116" s="469"/>
      <c r="C116" s="469"/>
      <c r="D116" s="469"/>
      <c r="E116" s="469"/>
      <c r="F116" s="469"/>
      <c r="G116" s="469"/>
      <c r="H116" s="469"/>
      <c r="I116" s="469"/>
      <c r="J116" s="190"/>
    </row>
    <row r="117" spans="1:10">
      <c r="A117" s="220" t="s">
        <v>677</v>
      </c>
      <c r="B117" s="464" t="s">
        <v>678</v>
      </c>
      <c r="C117" s="464"/>
      <c r="D117" s="464"/>
      <c r="E117" s="464"/>
      <c r="F117" s="464"/>
      <c r="G117" s="464"/>
      <c r="H117" s="221">
        <f>H112+H113+H114</f>
        <v>8.6499999999999994E-2</v>
      </c>
      <c r="I117" s="222"/>
      <c r="J117" s="190"/>
    </row>
    <row r="118" spans="1:10">
      <c r="A118" s="223"/>
      <c r="B118" s="465">
        <v>100</v>
      </c>
      <c r="C118" s="465"/>
      <c r="D118" s="465"/>
      <c r="E118" s="465"/>
      <c r="F118" s="465"/>
      <c r="G118" s="465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5" t="s">
        <v>719</v>
      </c>
      <c r="C120" s="465"/>
      <c r="D120" s="465"/>
      <c r="E120" s="465"/>
      <c r="F120" s="465"/>
      <c r="G120" s="465"/>
      <c r="H120" s="225"/>
      <c r="I120" s="226">
        <f>I35+I68+I77+I97+I105+I109+I110</f>
        <v>9250.5234236111119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5" t="s">
        <v>682</v>
      </c>
      <c r="C122" s="465"/>
      <c r="D122" s="465"/>
      <c r="E122" s="465"/>
      <c r="F122" s="465"/>
      <c r="G122" s="465"/>
      <c r="H122" s="225"/>
      <c r="I122" s="226">
        <f>TRUNC(I120/(1-H117),2)</f>
        <v>10126.459999999999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66" t="s">
        <v>683</v>
      </c>
      <c r="C124" s="466"/>
      <c r="D124" s="466"/>
      <c r="E124" s="466"/>
      <c r="F124" s="466"/>
      <c r="G124" s="466"/>
      <c r="H124" s="229"/>
      <c r="I124" s="230">
        <f>I122-I120</f>
        <v>875.93657638888726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67" t="s">
        <v>684</v>
      </c>
      <c r="B126" s="467"/>
      <c r="C126" s="467"/>
      <c r="D126" s="467"/>
      <c r="E126" s="467"/>
      <c r="F126" s="467"/>
      <c r="G126" s="467"/>
      <c r="H126" s="467"/>
      <c r="I126" s="467"/>
      <c r="J126" s="190"/>
    </row>
    <row r="127" spans="1:10">
      <c r="A127" s="460" t="s">
        <v>685</v>
      </c>
      <c r="B127" s="460"/>
      <c r="C127" s="460"/>
      <c r="D127" s="460"/>
      <c r="E127" s="460"/>
      <c r="F127" s="460"/>
      <c r="G127" s="460"/>
      <c r="H127" s="460"/>
      <c r="I127" s="195" t="s">
        <v>570</v>
      </c>
      <c r="J127" s="190"/>
    </row>
    <row r="128" spans="1:10">
      <c r="A128" s="193" t="s">
        <v>542</v>
      </c>
      <c r="B128" s="461" t="s">
        <v>567</v>
      </c>
      <c r="C128" s="461"/>
      <c r="D128" s="461"/>
      <c r="E128" s="461"/>
      <c r="F128" s="461"/>
      <c r="G128" s="461"/>
      <c r="H128" s="461"/>
      <c r="I128" s="197">
        <f>I35</f>
        <v>3926.6499999999996</v>
      </c>
    </row>
    <row r="129" spans="1:9">
      <c r="A129" s="193" t="s">
        <v>544</v>
      </c>
      <c r="B129" s="461" t="s">
        <v>582</v>
      </c>
      <c r="C129" s="461"/>
      <c r="D129" s="461"/>
      <c r="E129" s="461"/>
      <c r="F129" s="461"/>
      <c r="G129" s="461"/>
      <c r="H129" s="461"/>
      <c r="I129" s="197">
        <f>I68</f>
        <v>3536.6099999999997</v>
      </c>
    </row>
    <row r="130" spans="1:9">
      <c r="A130" s="193" t="s">
        <v>547</v>
      </c>
      <c r="B130" s="461" t="s">
        <v>632</v>
      </c>
      <c r="C130" s="461"/>
      <c r="D130" s="461"/>
      <c r="E130" s="461"/>
      <c r="F130" s="461"/>
      <c r="G130" s="461"/>
      <c r="H130" s="461"/>
      <c r="I130" s="197">
        <f>I77</f>
        <v>280.92</v>
      </c>
    </row>
    <row r="131" spans="1:9">
      <c r="A131" s="193" t="s">
        <v>550</v>
      </c>
      <c r="B131" s="461" t="s">
        <v>640</v>
      </c>
      <c r="C131" s="461"/>
      <c r="D131" s="461"/>
      <c r="E131" s="461"/>
      <c r="F131" s="461"/>
      <c r="G131" s="461"/>
      <c r="H131" s="461"/>
      <c r="I131" s="197">
        <f>I97</f>
        <v>91.31</v>
      </c>
    </row>
    <row r="132" spans="1:9">
      <c r="A132" s="193" t="s">
        <v>577</v>
      </c>
      <c r="B132" s="461" t="s">
        <v>659</v>
      </c>
      <c r="C132" s="461"/>
      <c r="D132" s="461"/>
      <c r="E132" s="461"/>
      <c r="F132" s="461"/>
      <c r="G132" s="461"/>
      <c r="H132" s="461"/>
      <c r="I132" s="197">
        <f>I105</f>
        <v>336.54342361111111</v>
      </c>
    </row>
    <row r="133" spans="1:9">
      <c r="A133" s="195"/>
      <c r="B133" s="460" t="s">
        <v>686</v>
      </c>
      <c r="C133" s="460"/>
      <c r="D133" s="460"/>
      <c r="E133" s="460"/>
      <c r="F133" s="460"/>
      <c r="G133" s="460"/>
      <c r="H133" s="460"/>
      <c r="I133" s="200">
        <f>SUM(I128:I132)</f>
        <v>8172.0334236111112</v>
      </c>
    </row>
    <row r="134" spans="1:9">
      <c r="A134" s="193" t="s">
        <v>579</v>
      </c>
      <c r="B134" s="461" t="s">
        <v>665</v>
      </c>
      <c r="C134" s="461"/>
      <c r="D134" s="461"/>
      <c r="E134" s="461"/>
      <c r="F134" s="461"/>
      <c r="G134" s="461"/>
      <c r="H134" s="461"/>
      <c r="I134" s="197">
        <f>I115</f>
        <v>1954.4199999999998</v>
      </c>
    </row>
    <row r="135" spans="1:9">
      <c r="A135" s="460" t="s">
        <v>687</v>
      </c>
      <c r="B135" s="460"/>
      <c r="C135" s="460"/>
      <c r="D135" s="460"/>
      <c r="E135" s="460"/>
      <c r="F135" s="460"/>
      <c r="G135" s="460"/>
      <c r="H135" s="460"/>
      <c r="I135" s="200">
        <f>I133+I134</f>
        <v>10126.45342361111</v>
      </c>
    </row>
    <row r="136" spans="1:9">
      <c r="A136" s="460" t="s">
        <v>688</v>
      </c>
      <c r="B136" s="460"/>
      <c r="C136" s="460"/>
      <c r="D136" s="460"/>
      <c r="E136" s="460"/>
      <c r="F136" s="460"/>
      <c r="G136" s="460"/>
      <c r="H136" s="460"/>
      <c r="I136" s="254">
        <f>TRUNC(I135*2,2)</f>
        <v>20252.900000000001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9" t="s">
        <v>689</v>
      </c>
      <c r="C138" s="429"/>
      <c r="D138" s="429"/>
      <c r="E138" s="429"/>
      <c r="F138" s="429"/>
      <c r="G138" s="429"/>
      <c r="H138" s="192"/>
      <c r="I138" s="192"/>
    </row>
    <row r="139" spans="1:9" ht="64.5" hidden="1" thickBot="1">
      <c r="A139" s="462" t="s">
        <v>690</v>
      </c>
      <c r="B139" s="463"/>
      <c r="C139" s="462" t="s">
        <v>691</v>
      </c>
      <c r="D139" s="463"/>
      <c r="E139" s="462" t="s">
        <v>692</v>
      </c>
      <c r="F139" s="463"/>
      <c r="G139" s="231" t="s">
        <v>693</v>
      </c>
      <c r="H139" s="232" t="s">
        <v>694</v>
      </c>
      <c r="I139" s="233" t="s">
        <v>570</v>
      </c>
    </row>
    <row r="140" spans="1:9" hidden="1">
      <c r="A140" s="454" t="s">
        <v>695</v>
      </c>
      <c r="B140" s="455"/>
      <c r="C140" s="456" t="s">
        <v>478</v>
      </c>
      <c r="D140" s="457"/>
      <c r="E140" s="458"/>
      <c r="F140" s="459"/>
      <c r="G140" s="235" t="s">
        <v>478</v>
      </c>
      <c r="H140" s="236"/>
      <c r="I140" s="237">
        <v>0</v>
      </c>
    </row>
    <row r="141" spans="1:9" hidden="1">
      <c r="A141" s="450" t="s">
        <v>696</v>
      </c>
      <c r="B141" s="451"/>
      <c r="C141" s="452" t="s">
        <v>478</v>
      </c>
      <c r="D141" s="453"/>
      <c r="E141" s="444"/>
      <c r="F141" s="445"/>
      <c r="G141" s="211" t="s">
        <v>478</v>
      </c>
      <c r="H141" s="239"/>
      <c r="I141" s="240">
        <v>0</v>
      </c>
    </row>
    <row r="142" spans="1:9" hidden="1">
      <c r="A142" s="450" t="s">
        <v>697</v>
      </c>
      <c r="B142" s="451"/>
      <c r="C142" s="452" t="s">
        <v>478</v>
      </c>
      <c r="D142" s="453"/>
      <c r="E142" s="444"/>
      <c r="F142" s="445"/>
      <c r="G142" s="211" t="s">
        <v>478</v>
      </c>
      <c r="H142" s="239"/>
      <c r="I142" s="240">
        <v>0</v>
      </c>
    </row>
    <row r="143" spans="1:9" hidden="1">
      <c r="A143" s="450" t="s">
        <v>698</v>
      </c>
      <c r="B143" s="451"/>
      <c r="C143" s="452" t="s">
        <v>478</v>
      </c>
      <c r="D143" s="453"/>
      <c r="E143" s="444"/>
      <c r="F143" s="445"/>
      <c r="G143" s="211" t="s">
        <v>478</v>
      </c>
      <c r="H143" s="239"/>
      <c r="I143" s="240">
        <v>0</v>
      </c>
    </row>
    <row r="144" spans="1:9" hidden="1">
      <c r="A144" s="442"/>
      <c r="B144" s="443"/>
      <c r="C144" s="444"/>
      <c r="D144" s="445"/>
      <c r="E144" s="444"/>
      <c r="F144" s="445"/>
      <c r="G144" s="241"/>
      <c r="H144" s="242"/>
      <c r="I144" s="240"/>
    </row>
    <row r="145" spans="1:9" ht="15.75" hidden="1" thickBot="1">
      <c r="A145" s="446"/>
      <c r="B145" s="447"/>
      <c r="C145" s="448"/>
      <c r="D145" s="449"/>
      <c r="E145" s="448"/>
      <c r="F145" s="449"/>
      <c r="G145" s="243"/>
      <c r="H145" s="244"/>
      <c r="I145" s="245"/>
    </row>
    <row r="146" spans="1:9" ht="15.75" hidden="1" thickBot="1">
      <c r="A146" s="426" t="s">
        <v>699</v>
      </c>
      <c r="B146" s="427"/>
      <c r="C146" s="427"/>
      <c r="D146" s="427"/>
      <c r="E146" s="427"/>
      <c r="F146" s="427"/>
      <c r="G146" s="427"/>
      <c r="H146" s="42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9" t="s">
        <v>701</v>
      </c>
      <c r="C148" s="429"/>
      <c r="D148" s="429"/>
      <c r="E148" s="429"/>
      <c r="F148" s="429"/>
      <c r="G148" s="429"/>
      <c r="H148" s="192"/>
      <c r="I148" s="192"/>
    </row>
    <row r="149" spans="1:9" ht="15.75" hidden="1" thickBot="1">
      <c r="A149" s="430" t="s">
        <v>702</v>
      </c>
      <c r="B149" s="431"/>
      <c r="C149" s="431"/>
      <c r="D149" s="431"/>
      <c r="E149" s="431"/>
      <c r="F149" s="431"/>
      <c r="G149" s="431"/>
      <c r="H149" s="431"/>
      <c r="I149" s="432"/>
    </row>
    <row r="150" spans="1:9" ht="15.75" hidden="1" thickBot="1">
      <c r="A150" s="247"/>
      <c r="B150" s="433" t="s">
        <v>703</v>
      </c>
      <c r="C150" s="434"/>
      <c r="D150" s="434"/>
      <c r="E150" s="434"/>
      <c r="F150" s="434"/>
      <c r="G150" s="434"/>
      <c r="H150" s="435"/>
      <c r="I150" s="233" t="s">
        <v>570</v>
      </c>
    </row>
    <row r="151" spans="1:9" hidden="1">
      <c r="A151" s="234" t="s">
        <v>542</v>
      </c>
      <c r="B151" s="436" t="s">
        <v>704</v>
      </c>
      <c r="C151" s="437"/>
      <c r="D151" s="437"/>
      <c r="E151" s="437"/>
      <c r="F151" s="437"/>
      <c r="G151" s="437"/>
      <c r="H151" s="438"/>
      <c r="I151" s="248">
        <v>115.15</v>
      </c>
    </row>
    <row r="152" spans="1:9" hidden="1">
      <c r="A152" s="238" t="s">
        <v>544</v>
      </c>
      <c r="B152" s="439" t="s">
        <v>705</v>
      </c>
      <c r="C152" s="440"/>
      <c r="D152" s="440"/>
      <c r="E152" s="440"/>
      <c r="F152" s="440"/>
      <c r="G152" s="440"/>
      <c r="H152" s="441"/>
      <c r="I152" s="249" t="e">
        <v>#REF!</v>
      </c>
    </row>
    <row r="153" spans="1:9" ht="15.75" hidden="1" thickBot="1">
      <c r="A153" s="238" t="s">
        <v>547</v>
      </c>
      <c r="B153" s="418" t="s">
        <v>706</v>
      </c>
      <c r="C153" s="419"/>
      <c r="D153" s="419"/>
      <c r="E153" s="419"/>
      <c r="F153" s="419"/>
      <c r="G153" s="419"/>
      <c r="H153" s="420"/>
      <c r="I153" s="249">
        <v>1641.84</v>
      </c>
    </row>
    <row r="154" spans="1:9" ht="15.75" hidden="1" thickBot="1">
      <c r="A154" s="421" t="s">
        <v>707</v>
      </c>
      <c r="B154" s="422"/>
      <c r="C154" s="422"/>
      <c r="D154" s="422"/>
      <c r="E154" s="422"/>
      <c r="F154" s="422"/>
      <c r="G154" s="422"/>
      <c r="H154" s="423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24" t="s">
        <v>710</v>
      </c>
      <c r="B158" s="424"/>
      <c r="C158" s="424"/>
      <c r="D158" s="424"/>
      <c r="E158" s="424"/>
      <c r="F158" s="424"/>
      <c r="G158" s="424"/>
      <c r="H158" s="424"/>
      <c r="I158" s="250">
        <f>I135/I35</f>
        <v>2.5789040081522701</v>
      </c>
    </row>
    <row r="159" spans="1:9" ht="31.5" customHeight="1">
      <c r="A159" s="425" t="s">
        <v>711</v>
      </c>
      <c r="B159" s="425"/>
      <c r="C159" s="425"/>
      <c r="D159" s="425"/>
      <c r="E159" s="425"/>
      <c r="F159" s="425"/>
      <c r="G159" s="425"/>
      <c r="H159" s="425"/>
      <c r="I159" s="425"/>
    </row>
    <row r="160" spans="1:9" ht="63" customHeight="1">
      <c r="A160" s="425" t="s">
        <v>712</v>
      </c>
      <c r="B160" s="425"/>
      <c r="C160" s="425"/>
      <c r="D160" s="425"/>
      <c r="E160" s="425"/>
      <c r="F160" s="425"/>
      <c r="G160" s="425"/>
      <c r="H160" s="425"/>
      <c r="I160" s="425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3"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A37:I37"/>
    <mergeCell ref="A38:G38"/>
    <mergeCell ref="B39:G39"/>
    <mergeCell ref="J39:N39"/>
    <mergeCell ref="B40:G40"/>
    <mergeCell ref="J40:N40"/>
    <mergeCell ref="B32:G32"/>
    <mergeCell ref="J32:N32"/>
    <mergeCell ref="B33:G33"/>
    <mergeCell ref="J33:N33"/>
    <mergeCell ref="B34:G34"/>
    <mergeCell ref="A35:H35"/>
    <mergeCell ref="B46:G46"/>
    <mergeCell ref="J46:N46"/>
    <mergeCell ref="B47:G47"/>
    <mergeCell ref="J47:N47"/>
    <mergeCell ref="B48:G48"/>
    <mergeCell ref="J48:N48"/>
    <mergeCell ref="A41:G41"/>
    <mergeCell ref="A42:I42"/>
    <mergeCell ref="A43:G43"/>
    <mergeCell ref="B44:G44"/>
    <mergeCell ref="J44:N44"/>
    <mergeCell ref="B45:G45"/>
    <mergeCell ref="J45:N45"/>
    <mergeCell ref="A52:G52"/>
    <mergeCell ref="A53:I53"/>
    <mergeCell ref="A54:G54"/>
    <mergeCell ref="B55:G55"/>
    <mergeCell ref="J55:N55"/>
    <mergeCell ref="B56:G56"/>
    <mergeCell ref="J56:N56"/>
    <mergeCell ref="B49:G49"/>
    <mergeCell ref="J49:N49"/>
    <mergeCell ref="B50:G50"/>
    <mergeCell ref="J50:N50"/>
    <mergeCell ref="B51:G51"/>
    <mergeCell ref="J51:N51"/>
    <mergeCell ref="A61:H61"/>
    <mergeCell ref="A62:I62"/>
    <mergeCell ref="A63:I63"/>
    <mergeCell ref="A64:H64"/>
    <mergeCell ref="B65:H65"/>
    <mergeCell ref="B66:H66"/>
    <mergeCell ref="B57:G57"/>
    <mergeCell ref="J57:N57"/>
    <mergeCell ref="B58:G58"/>
    <mergeCell ref="J58:N58"/>
    <mergeCell ref="B59:G59"/>
    <mergeCell ref="J59:N59"/>
    <mergeCell ref="B73:G73"/>
    <mergeCell ref="B74:G74"/>
    <mergeCell ref="B75:G75"/>
    <mergeCell ref="B76:G76"/>
    <mergeCell ref="A77:G77"/>
    <mergeCell ref="A78:I78"/>
    <mergeCell ref="B67:H67"/>
    <mergeCell ref="A68:H68"/>
    <mergeCell ref="A69:I69"/>
    <mergeCell ref="A70:I70"/>
    <mergeCell ref="B71:G71"/>
    <mergeCell ref="B72:G72"/>
    <mergeCell ref="B85:G85"/>
    <mergeCell ref="B86:G86"/>
    <mergeCell ref="A87:G87"/>
    <mergeCell ref="A88:I88"/>
    <mergeCell ref="A89:G89"/>
    <mergeCell ref="B90:G90"/>
    <mergeCell ref="A79:I79"/>
    <mergeCell ref="A80:G80"/>
    <mergeCell ref="B81:G81"/>
    <mergeCell ref="B82:G82"/>
    <mergeCell ref="B83:G83"/>
    <mergeCell ref="B84:G84"/>
    <mergeCell ref="A97:H97"/>
    <mergeCell ref="A98:I98"/>
    <mergeCell ref="A99:I99"/>
    <mergeCell ref="B100:G100"/>
    <mergeCell ref="B101:G101"/>
    <mergeCell ref="B102:G102"/>
    <mergeCell ref="A91:G91"/>
    <mergeCell ref="A92:I92"/>
    <mergeCell ref="A93:I93"/>
    <mergeCell ref="A94:H94"/>
    <mergeCell ref="B95:H95"/>
    <mergeCell ref="B96:H96"/>
    <mergeCell ref="B109:G109"/>
    <mergeCell ref="B110:G110"/>
    <mergeCell ref="B111:G111"/>
    <mergeCell ref="B112:G112"/>
    <mergeCell ref="B113:G113"/>
    <mergeCell ref="B114:G114"/>
    <mergeCell ref="B103:G103"/>
    <mergeCell ref="B104:G104"/>
    <mergeCell ref="A105:G105"/>
    <mergeCell ref="A106:I106"/>
    <mergeCell ref="A107:I107"/>
    <mergeCell ref="B108:G108"/>
    <mergeCell ref="B124:G124"/>
    <mergeCell ref="A126:I126"/>
    <mergeCell ref="A127:H127"/>
    <mergeCell ref="B128:H128"/>
    <mergeCell ref="B129:H129"/>
    <mergeCell ref="B130:H130"/>
    <mergeCell ref="A115:G115"/>
    <mergeCell ref="B116:I116"/>
    <mergeCell ref="B117:G117"/>
    <mergeCell ref="B118:G118"/>
    <mergeCell ref="B120:G120"/>
    <mergeCell ref="B122:G122"/>
    <mergeCell ref="B138:G138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B134:H134"/>
    <mergeCell ref="A135:H135"/>
    <mergeCell ref="A136:H136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  <mergeCell ref="A159:I159"/>
    <mergeCell ref="A160:I160"/>
    <mergeCell ref="B150:H150"/>
    <mergeCell ref="B151:H151"/>
    <mergeCell ref="B152:H152"/>
    <mergeCell ref="B153:H153"/>
    <mergeCell ref="A154:H154"/>
    <mergeCell ref="A158:H158"/>
    <mergeCell ref="A145:B145"/>
    <mergeCell ref="C145:D145"/>
    <mergeCell ref="E145:F145"/>
    <mergeCell ref="A146:H146"/>
    <mergeCell ref="B148:G148"/>
    <mergeCell ref="A149:I149"/>
  </mergeCell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2EE0E-9484-4096-8EA7-7BF9628AE414}">
  <dimension ref="A1:T163"/>
  <sheetViews>
    <sheetView topLeftCell="A112" workbookViewId="0">
      <selection activeCell="A2" sqref="A2:I2"/>
    </sheetView>
  </sheetViews>
  <sheetFormatPr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2" max="12" width="115" customWidth="1"/>
  </cols>
  <sheetData>
    <row r="1" spans="1:9" ht="42" customHeight="1">
      <c r="A1" s="190"/>
      <c r="B1" s="505" t="s">
        <v>535</v>
      </c>
      <c r="C1" s="506"/>
      <c r="D1" s="506"/>
      <c r="E1" s="506"/>
      <c r="F1" s="506"/>
      <c r="G1" s="506"/>
      <c r="H1" s="506"/>
      <c r="I1" s="506"/>
    </row>
    <row r="2" spans="1:9">
      <c r="A2" s="429"/>
      <c r="B2" s="429"/>
      <c r="C2" s="429"/>
      <c r="D2" s="429"/>
      <c r="E2" s="429"/>
      <c r="F2" s="429"/>
      <c r="G2" s="429"/>
      <c r="H2" s="429"/>
      <c r="I2" s="429"/>
    </row>
    <row r="3" spans="1:9">
      <c r="A3" s="507" t="s">
        <v>536</v>
      </c>
      <c r="B3" s="507"/>
      <c r="C3" s="507"/>
      <c r="D3" s="507"/>
      <c r="E3" s="507"/>
      <c r="F3" s="507"/>
      <c r="G3" s="507"/>
      <c r="H3" s="507"/>
      <c r="I3" s="507"/>
    </row>
    <row r="4" spans="1:9">
      <c r="A4" s="508" t="s">
        <v>537</v>
      </c>
      <c r="B4" s="508"/>
      <c r="C4" s="508"/>
      <c r="D4" s="508"/>
      <c r="E4" s="508"/>
      <c r="F4" s="508"/>
      <c r="G4" s="508"/>
      <c r="H4" s="508"/>
      <c r="I4" s="508"/>
    </row>
    <row r="5" spans="1:9">
      <c r="A5" s="508" t="s">
        <v>538</v>
      </c>
      <c r="B5" s="508"/>
      <c r="C5" s="508"/>
      <c r="D5" s="508"/>
      <c r="E5" s="508"/>
      <c r="F5" s="508"/>
      <c r="G5" s="508"/>
      <c r="H5" s="508"/>
      <c r="I5" s="508"/>
    </row>
    <row r="6" spans="1:9">
      <c r="A6" s="509" t="s">
        <v>539</v>
      </c>
      <c r="B6" s="509"/>
      <c r="C6" s="509"/>
      <c r="D6" s="509"/>
      <c r="E6" s="509"/>
      <c r="F6" s="509"/>
      <c r="G6" s="509"/>
      <c r="H6" s="509"/>
      <c r="I6" s="509"/>
    </row>
    <row r="7" spans="1:9">
      <c r="A7" s="429"/>
      <c r="B7" s="429"/>
      <c r="C7" s="429"/>
      <c r="D7" s="429"/>
      <c r="E7" s="429"/>
      <c r="F7" s="429"/>
      <c r="G7" s="429"/>
      <c r="H7" s="429"/>
      <c r="I7" s="429"/>
    </row>
    <row r="8" spans="1:9">
      <c r="A8" s="503" t="s">
        <v>540</v>
      </c>
      <c r="B8" s="503"/>
      <c r="C8" s="503"/>
      <c r="D8" s="503"/>
      <c r="E8" s="503"/>
      <c r="F8" s="503"/>
      <c r="G8" s="503"/>
      <c r="H8" s="503"/>
      <c r="I8" s="503"/>
    </row>
    <row r="9" spans="1:9">
      <c r="A9" s="504"/>
      <c r="B9" s="504"/>
      <c r="C9" s="504"/>
      <c r="D9" s="504"/>
      <c r="E9" s="504"/>
      <c r="F9" s="504"/>
      <c r="G9" s="504"/>
      <c r="H9" s="504"/>
      <c r="I9" s="504"/>
    </row>
    <row r="10" spans="1:9">
      <c r="A10" s="467" t="s">
        <v>541</v>
      </c>
      <c r="B10" s="467"/>
      <c r="C10" s="467"/>
      <c r="D10" s="467"/>
      <c r="E10" s="467"/>
      <c r="F10" s="467"/>
      <c r="G10" s="467"/>
      <c r="H10" s="467"/>
      <c r="I10" s="467"/>
    </row>
    <row r="11" spans="1:9">
      <c r="A11" s="193" t="s">
        <v>542</v>
      </c>
      <c r="B11" s="461" t="s">
        <v>543</v>
      </c>
      <c r="C11" s="461"/>
      <c r="D11" s="461"/>
      <c r="E11" s="461"/>
      <c r="F11" s="461"/>
      <c r="G11" s="461"/>
      <c r="H11" s="501"/>
      <c r="I11" s="450"/>
    </row>
    <row r="12" spans="1:9">
      <c r="A12" s="193" t="s">
        <v>544</v>
      </c>
      <c r="B12" s="461" t="s">
        <v>545</v>
      </c>
      <c r="C12" s="461"/>
      <c r="D12" s="461"/>
      <c r="E12" s="461"/>
      <c r="F12" s="461"/>
      <c r="G12" s="461"/>
      <c r="H12" s="450" t="s">
        <v>546</v>
      </c>
      <c r="I12" s="450"/>
    </row>
    <row r="13" spans="1:9">
      <c r="A13" s="193" t="s">
        <v>547</v>
      </c>
      <c r="B13" s="461" t="s">
        <v>548</v>
      </c>
      <c r="C13" s="461"/>
      <c r="D13" s="461"/>
      <c r="E13" s="461"/>
      <c r="F13" s="461"/>
      <c r="G13" s="461"/>
      <c r="H13" s="510" t="s">
        <v>549</v>
      </c>
      <c r="I13" s="450"/>
    </row>
    <row r="14" spans="1:9">
      <c r="A14" s="193" t="s">
        <v>550</v>
      </c>
      <c r="B14" s="461" t="s">
        <v>551</v>
      </c>
      <c r="C14" s="461"/>
      <c r="D14" s="461"/>
      <c r="E14" s="461"/>
      <c r="F14" s="461"/>
      <c r="G14" s="461"/>
      <c r="H14" s="450">
        <v>12</v>
      </c>
      <c r="I14" s="450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67" t="s">
        <v>552</v>
      </c>
      <c r="B16" s="467"/>
      <c r="C16" s="467"/>
      <c r="D16" s="467"/>
      <c r="E16" s="467"/>
      <c r="F16" s="467"/>
      <c r="G16" s="467"/>
      <c r="H16" s="467"/>
      <c r="I16" s="467"/>
    </row>
    <row r="17" spans="1:14">
      <c r="A17" s="450" t="s">
        <v>553</v>
      </c>
      <c r="B17" s="450"/>
      <c r="C17" s="450" t="s">
        <v>554</v>
      </c>
      <c r="D17" s="450"/>
      <c r="E17" s="450" t="s">
        <v>555</v>
      </c>
      <c r="F17" s="450"/>
      <c r="G17" s="450"/>
      <c r="H17" s="450"/>
      <c r="I17" s="450"/>
      <c r="J17" s="190"/>
    </row>
    <row r="18" spans="1:14">
      <c r="A18" s="450" t="s">
        <v>720</v>
      </c>
      <c r="B18" s="450"/>
      <c r="C18" s="450" t="s">
        <v>557</v>
      </c>
      <c r="D18" s="450"/>
      <c r="E18" s="450">
        <v>2</v>
      </c>
      <c r="F18" s="450"/>
      <c r="G18" s="450"/>
      <c r="H18" s="450"/>
      <c r="I18" s="450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67" t="s">
        <v>558</v>
      </c>
      <c r="B20" s="467"/>
      <c r="C20" s="467"/>
      <c r="D20" s="467"/>
      <c r="E20" s="467"/>
      <c r="F20" s="467"/>
      <c r="G20" s="467"/>
      <c r="H20" s="467"/>
      <c r="I20" s="467"/>
      <c r="J20" s="190"/>
    </row>
    <row r="21" spans="1:14">
      <c r="A21" s="193">
        <v>1</v>
      </c>
      <c r="B21" s="461" t="s">
        <v>559</v>
      </c>
      <c r="C21" s="461"/>
      <c r="D21" s="461"/>
      <c r="E21" s="461"/>
      <c r="F21" s="461"/>
      <c r="G21" s="461"/>
      <c r="H21" s="450" t="s">
        <v>721</v>
      </c>
      <c r="I21" s="450"/>
      <c r="J21" s="190"/>
    </row>
    <row r="22" spans="1:14">
      <c r="A22" s="193">
        <v>2</v>
      </c>
      <c r="B22" s="461" t="s">
        <v>561</v>
      </c>
      <c r="C22" s="461"/>
      <c r="D22" s="461"/>
      <c r="E22" s="461"/>
      <c r="F22" s="461"/>
      <c r="G22" s="461"/>
      <c r="H22" s="450" t="s">
        <v>562</v>
      </c>
      <c r="I22" s="450"/>
      <c r="J22" s="190"/>
    </row>
    <row r="23" spans="1:14">
      <c r="A23" s="193">
        <v>3</v>
      </c>
      <c r="B23" s="461" t="s">
        <v>563</v>
      </c>
      <c r="C23" s="461"/>
      <c r="D23" s="461"/>
      <c r="E23" s="461"/>
      <c r="F23" s="461"/>
      <c r="G23" s="461"/>
      <c r="H23" s="502">
        <v>2723.41</v>
      </c>
      <c r="I23" s="450"/>
      <c r="J23" s="190"/>
    </row>
    <row r="24" spans="1:14">
      <c r="A24" s="193">
        <v>4</v>
      </c>
      <c r="B24" s="461" t="s">
        <v>564</v>
      </c>
      <c r="C24" s="461"/>
      <c r="D24" s="461"/>
      <c r="E24" s="461"/>
      <c r="F24" s="461"/>
      <c r="G24" s="461"/>
      <c r="H24" s="460" t="s">
        <v>565</v>
      </c>
      <c r="I24" s="460"/>
      <c r="J24" s="190"/>
    </row>
    <row r="25" spans="1:14">
      <c r="A25" s="193">
        <v>5</v>
      </c>
      <c r="B25" s="461" t="s">
        <v>566</v>
      </c>
      <c r="C25" s="461"/>
      <c r="D25" s="461"/>
      <c r="E25" s="461"/>
      <c r="F25" s="461"/>
      <c r="G25" s="461"/>
      <c r="H25" s="501">
        <v>45292</v>
      </c>
      <c r="I25" s="450"/>
      <c r="J25" s="190"/>
    </row>
    <row r="26" spans="1:14">
      <c r="A26" s="429"/>
      <c r="B26" s="429"/>
      <c r="C26" s="429"/>
      <c r="D26" s="429"/>
      <c r="E26" s="429"/>
      <c r="F26" s="429"/>
      <c r="G26" s="429"/>
      <c r="H26" s="429"/>
      <c r="I26" s="429"/>
      <c r="J26" s="190"/>
    </row>
    <row r="27" spans="1:14">
      <c r="A27" s="472" t="s">
        <v>567</v>
      </c>
      <c r="B27" s="472"/>
      <c r="C27" s="472"/>
      <c r="D27" s="472"/>
      <c r="E27" s="472"/>
      <c r="F27" s="472"/>
      <c r="G27" s="472"/>
      <c r="H27" s="472"/>
      <c r="I27" s="472"/>
      <c r="J27" s="190"/>
    </row>
    <row r="28" spans="1:14">
      <c r="A28" s="195">
        <v>1</v>
      </c>
      <c r="B28" s="460" t="s">
        <v>568</v>
      </c>
      <c r="C28" s="460"/>
      <c r="D28" s="460"/>
      <c r="E28" s="460"/>
      <c r="F28" s="460"/>
      <c r="G28" s="460"/>
      <c r="H28" s="195" t="s">
        <v>569</v>
      </c>
      <c r="I28" s="195" t="s">
        <v>570</v>
      </c>
      <c r="J28" s="190"/>
    </row>
    <row r="29" spans="1:14">
      <c r="A29" s="195" t="s">
        <v>542</v>
      </c>
      <c r="B29" s="461" t="s">
        <v>571</v>
      </c>
      <c r="C29" s="461"/>
      <c r="D29" s="461"/>
      <c r="E29" s="461"/>
      <c r="F29" s="461"/>
      <c r="G29" s="461"/>
      <c r="H29" s="196"/>
      <c r="I29" s="197">
        <f>H23</f>
        <v>2723.41</v>
      </c>
      <c r="J29" s="498" t="s">
        <v>572</v>
      </c>
      <c r="K29" s="499"/>
      <c r="L29" s="499"/>
      <c r="M29" s="499"/>
      <c r="N29" s="500"/>
    </row>
    <row r="30" spans="1:14">
      <c r="A30" s="195" t="s">
        <v>544</v>
      </c>
      <c r="B30" s="461" t="s">
        <v>573</v>
      </c>
      <c r="C30" s="461"/>
      <c r="D30" s="461"/>
      <c r="E30" s="461"/>
      <c r="F30" s="461"/>
      <c r="G30" s="461"/>
      <c r="H30" s="198">
        <v>0.3</v>
      </c>
      <c r="I30" s="197">
        <f>TRUNC(I29*H30,2)</f>
        <v>817.02</v>
      </c>
      <c r="J30" s="498" t="s">
        <v>574</v>
      </c>
      <c r="K30" s="499"/>
      <c r="L30" s="499"/>
      <c r="M30" s="499"/>
      <c r="N30" s="500"/>
    </row>
    <row r="31" spans="1:14">
      <c r="A31" s="195" t="s">
        <v>547</v>
      </c>
      <c r="B31" s="461" t="s">
        <v>575</v>
      </c>
      <c r="C31" s="461"/>
      <c r="D31" s="461"/>
      <c r="E31" s="461"/>
      <c r="F31" s="461"/>
      <c r="G31" s="461"/>
      <c r="H31" s="198"/>
      <c r="I31" s="197">
        <v>0</v>
      </c>
      <c r="J31" s="190"/>
    </row>
    <row r="32" spans="1:14">
      <c r="A32" s="195" t="s">
        <v>550</v>
      </c>
      <c r="B32" s="461" t="s">
        <v>576</v>
      </c>
      <c r="C32" s="461"/>
      <c r="D32" s="461"/>
      <c r="E32" s="461"/>
      <c r="F32" s="461"/>
      <c r="G32" s="461"/>
      <c r="H32" s="198"/>
      <c r="I32" s="197">
        <f>TRUNC(((I29+I30)*H32*(7/12)),2)</f>
        <v>0</v>
      </c>
      <c r="J32" s="190"/>
    </row>
    <row r="33" spans="1:14">
      <c r="A33" s="195" t="s">
        <v>577</v>
      </c>
      <c r="B33" s="461" t="s">
        <v>578</v>
      </c>
      <c r="C33" s="461"/>
      <c r="D33" s="461"/>
      <c r="E33" s="461"/>
      <c r="F33" s="461"/>
      <c r="G33" s="461"/>
      <c r="H33" s="199"/>
      <c r="I33" s="197">
        <f>TRUNC((I29+I30)*H33*(1/12),2)</f>
        <v>0</v>
      </c>
      <c r="J33" s="190"/>
    </row>
    <row r="34" spans="1:14">
      <c r="A34" s="195" t="s">
        <v>579</v>
      </c>
      <c r="B34" s="461" t="s">
        <v>580</v>
      </c>
      <c r="C34" s="461"/>
      <c r="D34" s="461"/>
      <c r="E34" s="461"/>
      <c r="F34" s="461"/>
      <c r="G34" s="461"/>
      <c r="H34" s="198"/>
      <c r="I34" s="197">
        <v>0</v>
      </c>
      <c r="J34" s="190"/>
    </row>
    <row r="35" spans="1:14">
      <c r="A35" s="460" t="s">
        <v>581</v>
      </c>
      <c r="B35" s="460"/>
      <c r="C35" s="460"/>
      <c r="D35" s="460"/>
      <c r="E35" s="460"/>
      <c r="F35" s="460"/>
      <c r="G35" s="460"/>
      <c r="H35" s="460"/>
      <c r="I35" s="200">
        <f>SUM(I29:I34)</f>
        <v>3540.43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72" t="s">
        <v>582</v>
      </c>
      <c r="B37" s="472"/>
      <c r="C37" s="472"/>
      <c r="D37" s="472"/>
      <c r="E37" s="472"/>
      <c r="F37" s="472"/>
      <c r="G37" s="472"/>
      <c r="H37" s="472"/>
      <c r="I37" s="472"/>
      <c r="J37" s="202"/>
      <c r="L37" s="203"/>
    </row>
    <row r="38" spans="1:14">
      <c r="A38" s="460" t="s">
        <v>583</v>
      </c>
      <c r="B38" s="460"/>
      <c r="C38" s="460"/>
      <c r="D38" s="460"/>
      <c r="E38" s="460"/>
      <c r="F38" s="460"/>
      <c r="G38" s="460"/>
      <c r="H38" s="195" t="s">
        <v>569</v>
      </c>
      <c r="I38" s="195" t="s">
        <v>570</v>
      </c>
      <c r="J38" s="202"/>
    </row>
    <row r="39" spans="1:14">
      <c r="A39" s="195" t="s">
        <v>542</v>
      </c>
      <c r="B39" s="461" t="s">
        <v>584</v>
      </c>
      <c r="C39" s="461"/>
      <c r="D39" s="461"/>
      <c r="E39" s="461"/>
      <c r="F39" s="461"/>
      <c r="G39" s="461"/>
      <c r="H39" s="204">
        <f>1/12</f>
        <v>8.3333333333333329E-2</v>
      </c>
      <c r="I39" s="197">
        <f>TRUNC(I35*H39,2)</f>
        <v>295.02999999999997</v>
      </c>
      <c r="J39" s="490" t="s">
        <v>585</v>
      </c>
      <c r="K39" s="491"/>
      <c r="L39" s="491"/>
      <c r="M39" s="491"/>
      <c r="N39" s="492"/>
    </row>
    <row r="40" spans="1:14">
      <c r="A40" s="195" t="s">
        <v>544</v>
      </c>
      <c r="B40" s="461" t="s">
        <v>586</v>
      </c>
      <c r="C40" s="461"/>
      <c r="D40" s="461"/>
      <c r="E40" s="461"/>
      <c r="F40" s="461"/>
      <c r="G40" s="461"/>
      <c r="H40" s="205">
        <v>0.121</v>
      </c>
      <c r="I40" s="197">
        <f>TRUNC(I35*H40,2)</f>
        <v>428.39</v>
      </c>
      <c r="J40" s="490" t="s">
        <v>587</v>
      </c>
      <c r="K40" s="491"/>
      <c r="L40" s="491"/>
      <c r="M40" s="491"/>
      <c r="N40" s="492"/>
    </row>
    <row r="41" spans="1:14">
      <c r="A41" s="460" t="s">
        <v>588</v>
      </c>
      <c r="B41" s="460"/>
      <c r="C41" s="460"/>
      <c r="D41" s="460"/>
      <c r="E41" s="460"/>
      <c r="F41" s="460"/>
      <c r="G41" s="460"/>
      <c r="H41" s="206">
        <v>0.20430000000000001</v>
      </c>
      <c r="I41" s="200">
        <f>SUM(I39:I40)</f>
        <v>723.42</v>
      </c>
      <c r="J41" s="202"/>
    </row>
    <row r="42" spans="1:14">
      <c r="A42" s="496"/>
      <c r="B42" s="497"/>
      <c r="C42" s="497"/>
      <c r="D42" s="497"/>
      <c r="E42" s="497"/>
      <c r="F42" s="497"/>
      <c r="G42" s="497"/>
      <c r="H42" s="497"/>
      <c r="I42" s="497"/>
      <c r="J42" s="190"/>
    </row>
    <row r="43" spans="1:14">
      <c r="A43" s="460" t="s">
        <v>589</v>
      </c>
      <c r="B43" s="460"/>
      <c r="C43" s="460"/>
      <c r="D43" s="460"/>
      <c r="E43" s="460"/>
      <c r="F43" s="460"/>
      <c r="G43" s="460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61" t="s">
        <v>590</v>
      </c>
      <c r="C44" s="461"/>
      <c r="D44" s="461"/>
      <c r="E44" s="461"/>
      <c r="F44" s="461"/>
      <c r="G44" s="461"/>
      <c r="H44" s="204">
        <v>0.2</v>
      </c>
      <c r="I44" s="197">
        <f>TRUNC(($I$35+$I$41)*H44,2)</f>
        <v>852.77</v>
      </c>
      <c r="J44" s="490" t="s">
        <v>591</v>
      </c>
      <c r="K44" s="491"/>
      <c r="L44" s="491"/>
      <c r="M44" s="491"/>
      <c r="N44" s="492"/>
    </row>
    <row r="45" spans="1:14">
      <c r="A45" s="195" t="s">
        <v>544</v>
      </c>
      <c r="B45" s="461" t="s">
        <v>592</v>
      </c>
      <c r="C45" s="461"/>
      <c r="D45" s="461"/>
      <c r="E45" s="461"/>
      <c r="F45" s="461"/>
      <c r="G45" s="461"/>
      <c r="H45" s="204">
        <v>2.5000000000000001E-2</v>
      </c>
      <c r="I45" s="197">
        <f t="shared" ref="I45:I51" si="0">TRUNC(($I$35+$I$41)*H45,2)</f>
        <v>106.59</v>
      </c>
      <c r="J45" s="490" t="s">
        <v>593</v>
      </c>
      <c r="K45" s="491"/>
      <c r="L45" s="491"/>
      <c r="M45" s="491"/>
      <c r="N45" s="492"/>
    </row>
    <row r="46" spans="1:14">
      <c r="A46" s="195" t="s">
        <v>547</v>
      </c>
      <c r="B46" s="461" t="s">
        <v>594</v>
      </c>
      <c r="C46" s="461"/>
      <c r="D46" s="461"/>
      <c r="E46" s="461"/>
      <c r="F46" s="461"/>
      <c r="G46" s="461"/>
      <c r="H46" s="204">
        <v>0.03</v>
      </c>
      <c r="I46" s="197">
        <f t="shared" si="0"/>
        <v>127.91</v>
      </c>
      <c r="J46" s="493" t="s">
        <v>595</v>
      </c>
      <c r="K46" s="494"/>
      <c r="L46" s="494"/>
      <c r="M46" s="494"/>
      <c r="N46" s="495"/>
    </row>
    <row r="47" spans="1:14">
      <c r="A47" s="195" t="s">
        <v>550</v>
      </c>
      <c r="B47" s="461" t="s">
        <v>596</v>
      </c>
      <c r="C47" s="461"/>
      <c r="D47" s="461"/>
      <c r="E47" s="461"/>
      <c r="F47" s="461"/>
      <c r="G47" s="461"/>
      <c r="H47" s="204">
        <v>1.4999999999999999E-2</v>
      </c>
      <c r="I47" s="197">
        <f t="shared" si="0"/>
        <v>63.95</v>
      </c>
      <c r="J47" s="490" t="s">
        <v>597</v>
      </c>
      <c r="K47" s="491"/>
      <c r="L47" s="491"/>
      <c r="M47" s="491"/>
      <c r="N47" s="492"/>
    </row>
    <row r="48" spans="1:14">
      <c r="A48" s="195" t="s">
        <v>577</v>
      </c>
      <c r="B48" s="461" t="s">
        <v>598</v>
      </c>
      <c r="C48" s="461"/>
      <c r="D48" s="461"/>
      <c r="E48" s="461"/>
      <c r="F48" s="461"/>
      <c r="G48" s="461"/>
      <c r="H48" s="204">
        <v>0.01</v>
      </c>
      <c r="I48" s="197">
        <f t="shared" si="0"/>
        <v>42.63</v>
      </c>
      <c r="J48" s="490" t="s">
        <v>599</v>
      </c>
      <c r="K48" s="491"/>
      <c r="L48" s="491"/>
      <c r="M48" s="491"/>
      <c r="N48" s="492"/>
    </row>
    <row r="49" spans="1:20">
      <c r="A49" s="195" t="s">
        <v>579</v>
      </c>
      <c r="B49" s="461" t="s">
        <v>600</v>
      </c>
      <c r="C49" s="461"/>
      <c r="D49" s="461"/>
      <c r="E49" s="461"/>
      <c r="F49" s="461"/>
      <c r="G49" s="461"/>
      <c r="H49" s="204">
        <v>6.0000000000000001E-3</v>
      </c>
      <c r="I49" s="197">
        <f t="shared" si="0"/>
        <v>25.58</v>
      </c>
      <c r="J49" s="490" t="s">
        <v>601</v>
      </c>
      <c r="K49" s="491"/>
      <c r="L49" s="491"/>
      <c r="M49" s="491"/>
      <c r="N49" s="492"/>
    </row>
    <row r="50" spans="1:20">
      <c r="A50" s="195" t="s">
        <v>602</v>
      </c>
      <c r="B50" s="461" t="s">
        <v>603</v>
      </c>
      <c r="C50" s="461"/>
      <c r="D50" s="461"/>
      <c r="E50" s="461"/>
      <c r="F50" s="461"/>
      <c r="G50" s="461"/>
      <c r="H50" s="204">
        <v>2E-3</v>
      </c>
      <c r="I50" s="197">
        <f t="shared" si="0"/>
        <v>8.52</v>
      </c>
      <c r="J50" s="490" t="s">
        <v>604</v>
      </c>
      <c r="K50" s="491"/>
      <c r="L50" s="491"/>
      <c r="M50" s="491"/>
      <c r="N50" s="492"/>
    </row>
    <row r="51" spans="1:20">
      <c r="A51" s="195" t="s">
        <v>605</v>
      </c>
      <c r="B51" s="461" t="s">
        <v>606</v>
      </c>
      <c r="C51" s="461"/>
      <c r="D51" s="461"/>
      <c r="E51" s="461"/>
      <c r="F51" s="461"/>
      <c r="G51" s="461"/>
      <c r="H51" s="204">
        <v>0.08</v>
      </c>
      <c r="I51" s="197">
        <f t="shared" si="0"/>
        <v>341.1</v>
      </c>
      <c r="J51" s="490" t="s">
        <v>607</v>
      </c>
      <c r="K51" s="491"/>
      <c r="L51" s="491"/>
      <c r="M51" s="491"/>
      <c r="N51" s="492"/>
    </row>
    <row r="52" spans="1:20">
      <c r="A52" s="460" t="s">
        <v>608</v>
      </c>
      <c r="B52" s="460"/>
      <c r="C52" s="460"/>
      <c r="D52" s="460"/>
      <c r="E52" s="460"/>
      <c r="F52" s="460"/>
      <c r="G52" s="460"/>
      <c r="H52" s="206">
        <v>0.36800000000000005</v>
      </c>
      <c r="I52" s="200">
        <f>SUM(I44:I51)</f>
        <v>1569.0500000000002</v>
      </c>
      <c r="J52" s="202"/>
    </row>
    <row r="53" spans="1:20">
      <c r="A53" s="485"/>
      <c r="B53" s="485"/>
      <c r="C53" s="485"/>
      <c r="D53" s="485"/>
      <c r="E53" s="485"/>
      <c r="F53" s="485"/>
      <c r="G53" s="485"/>
      <c r="H53" s="485"/>
      <c r="I53" s="486"/>
      <c r="J53" s="202"/>
    </row>
    <row r="54" spans="1:20">
      <c r="A54" s="460" t="s">
        <v>609</v>
      </c>
      <c r="B54" s="460"/>
      <c r="C54" s="460"/>
      <c r="D54" s="460"/>
      <c r="E54" s="460"/>
      <c r="F54" s="460"/>
      <c r="G54" s="460"/>
      <c r="H54" s="206"/>
      <c r="I54" s="195" t="s">
        <v>570</v>
      </c>
      <c r="J54" s="202"/>
    </row>
    <row r="55" spans="1:20">
      <c r="A55" s="195" t="s">
        <v>542</v>
      </c>
      <c r="B55" s="473" t="s">
        <v>610</v>
      </c>
      <c r="C55" s="473"/>
      <c r="D55" s="473"/>
      <c r="E55" s="473"/>
      <c r="F55" s="473"/>
      <c r="G55" s="473"/>
      <c r="H55" s="193" t="s">
        <v>534</v>
      </c>
      <c r="I55" s="209">
        <f>TRUNC((5.5*2*15),2)</f>
        <v>165</v>
      </c>
      <c r="J55" s="487" t="s">
        <v>611</v>
      </c>
      <c r="K55" s="488"/>
      <c r="L55" s="488"/>
      <c r="M55" s="488"/>
      <c r="N55" s="489"/>
    </row>
    <row r="56" spans="1:20">
      <c r="A56" s="195" t="s">
        <v>544</v>
      </c>
      <c r="B56" s="473" t="s">
        <v>612</v>
      </c>
      <c r="C56" s="473"/>
      <c r="D56" s="473"/>
      <c r="E56" s="473"/>
      <c r="F56" s="473"/>
      <c r="G56" s="473"/>
      <c r="H56" s="193" t="s">
        <v>534</v>
      </c>
      <c r="I56" s="209">
        <f>TRUNC(((47.37-0.94)*15),2)</f>
        <v>696.45</v>
      </c>
      <c r="J56" s="479" t="s">
        <v>613</v>
      </c>
      <c r="K56" s="480"/>
      <c r="L56" s="480"/>
      <c r="M56" s="480"/>
      <c r="N56" s="481"/>
    </row>
    <row r="57" spans="1:20" ht="22.5" customHeight="1">
      <c r="A57" s="195" t="s">
        <v>547</v>
      </c>
      <c r="B57" s="473" t="s">
        <v>614</v>
      </c>
      <c r="C57" s="473"/>
      <c r="D57" s="473"/>
      <c r="E57" s="473"/>
      <c r="F57" s="473"/>
      <c r="G57" s="473"/>
      <c r="H57" s="193" t="s">
        <v>534</v>
      </c>
      <c r="I57" s="209">
        <v>0</v>
      </c>
      <c r="J57" s="479" t="s">
        <v>615</v>
      </c>
      <c r="K57" s="480"/>
      <c r="L57" s="480"/>
      <c r="M57" s="480"/>
      <c r="N57" s="481"/>
      <c r="T57" t="s">
        <v>616</v>
      </c>
    </row>
    <row r="58" spans="1:20">
      <c r="A58" s="195" t="s">
        <v>550</v>
      </c>
      <c r="B58" s="473" t="s">
        <v>617</v>
      </c>
      <c r="C58" s="473"/>
      <c r="D58" s="473"/>
      <c r="E58" s="473"/>
      <c r="F58" s="473"/>
      <c r="G58" s="473"/>
      <c r="H58" s="193" t="s">
        <v>534</v>
      </c>
      <c r="I58" s="209">
        <f>'Seguro de Vida'!M9</f>
        <v>11.91</v>
      </c>
      <c r="J58" s="479" t="s">
        <v>618</v>
      </c>
      <c r="K58" s="480"/>
      <c r="L58" s="480"/>
      <c r="M58" s="480"/>
      <c r="N58" s="481"/>
      <c r="O58" t="s">
        <v>722</v>
      </c>
    </row>
    <row r="59" spans="1:20">
      <c r="A59" s="195" t="s">
        <v>577</v>
      </c>
      <c r="B59" s="482" t="s">
        <v>619</v>
      </c>
      <c r="C59" s="483"/>
      <c r="D59" s="483"/>
      <c r="E59" s="483"/>
      <c r="F59" s="483"/>
      <c r="G59" s="484"/>
      <c r="H59" s="193" t="s">
        <v>534</v>
      </c>
      <c r="I59" s="209">
        <v>0</v>
      </c>
      <c r="J59" s="479" t="s">
        <v>620</v>
      </c>
      <c r="K59" s="480"/>
      <c r="L59" s="480"/>
      <c r="M59" s="480"/>
      <c r="N59" s="481"/>
    </row>
    <row r="60" spans="1:20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20">
      <c r="A61" s="460" t="s">
        <v>622</v>
      </c>
      <c r="B61" s="460"/>
      <c r="C61" s="460"/>
      <c r="D61" s="460"/>
      <c r="E61" s="460"/>
      <c r="F61" s="460"/>
      <c r="G61" s="460"/>
      <c r="H61" s="460"/>
      <c r="I61" s="200">
        <f>SUM(I55:I60)</f>
        <v>994.06000000000006</v>
      </c>
      <c r="J61" s="202"/>
    </row>
    <row r="62" spans="1:20">
      <c r="A62" s="485"/>
      <c r="B62" s="485"/>
      <c r="C62" s="485"/>
      <c r="D62" s="485"/>
      <c r="E62" s="485"/>
      <c r="F62" s="485"/>
      <c r="G62" s="485"/>
      <c r="H62" s="485"/>
      <c r="I62" s="486"/>
      <c r="J62" s="202"/>
    </row>
    <row r="63" spans="1:20">
      <c r="A63" s="467" t="s">
        <v>623</v>
      </c>
      <c r="B63" s="467"/>
      <c r="C63" s="467"/>
      <c r="D63" s="467"/>
      <c r="E63" s="467"/>
      <c r="F63" s="467"/>
      <c r="G63" s="467"/>
      <c r="H63" s="467"/>
      <c r="I63" s="467"/>
      <c r="J63" s="202"/>
    </row>
    <row r="64" spans="1:20">
      <c r="A64" s="460" t="s">
        <v>624</v>
      </c>
      <c r="B64" s="460"/>
      <c r="C64" s="460"/>
      <c r="D64" s="460"/>
      <c r="E64" s="460"/>
      <c r="F64" s="460"/>
      <c r="G64" s="460"/>
      <c r="H64" s="460"/>
      <c r="I64" s="195" t="s">
        <v>570</v>
      </c>
      <c r="J64" s="202"/>
    </row>
    <row r="65" spans="1:10">
      <c r="A65" s="195" t="s">
        <v>625</v>
      </c>
      <c r="B65" s="461" t="s">
        <v>626</v>
      </c>
      <c r="C65" s="461"/>
      <c r="D65" s="461"/>
      <c r="E65" s="461"/>
      <c r="F65" s="461"/>
      <c r="G65" s="461"/>
      <c r="H65" s="461"/>
      <c r="I65" s="197">
        <f>I41</f>
        <v>723.42</v>
      </c>
      <c r="J65" s="202"/>
    </row>
    <row r="66" spans="1:10">
      <c r="A66" s="195" t="s">
        <v>627</v>
      </c>
      <c r="B66" s="461" t="s">
        <v>628</v>
      </c>
      <c r="C66" s="461"/>
      <c r="D66" s="461"/>
      <c r="E66" s="461"/>
      <c r="F66" s="461"/>
      <c r="G66" s="461"/>
      <c r="H66" s="461"/>
      <c r="I66" s="197">
        <f>I52</f>
        <v>1569.0500000000002</v>
      </c>
      <c r="J66" s="202"/>
    </row>
    <row r="67" spans="1:10">
      <c r="A67" s="195" t="s">
        <v>629</v>
      </c>
      <c r="B67" s="461" t="s">
        <v>630</v>
      </c>
      <c r="C67" s="461"/>
      <c r="D67" s="461"/>
      <c r="E67" s="461"/>
      <c r="F67" s="461"/>
      <c r="G67" s="461"/>
      <c r="H67" s="461"/>
      <c r="I67" s="197">
        <f>I61</f>
        <v>994.06000000000006</v>
      </c>
      <c r="J67" s="202"/>
    </row>
    <row r="68" spans="1:10">
      <c r="A68" s="460" t="s">
        <v>631</v>
      </c>
      <c r="B68" s="460"/>
      <c r="C68" s="460"/>
      <c r="D68" s="460"/>
      <c r="E68" s="460"/>
      <c r="F68" s="460"/>
      <c r="G68" s="460"/>
      <c r="H68" s="460"/>
      <c r="I68" s="200">
        <f>SUM(I65:I67)</f>
        <v>3286.53</v>
      </c>
      <c r="J68" s="202"/>
    </row>
    <row r="69" spans="1:10">
      <c r="A69" s="470"/>
      <c r="B69" s="471"/>
      <c r="C69" s="471"/>
      <c r="D69" s="471"/>
      <c r="E69" s="471"/>
      <c r="F69" s="471"/>
      <c r="G69" s="471"/>
      <c r="H69" s="471"/>
      <c r="I69" s="471"/>
      <c r="J69" s="202"/>
    </row>
    <row r="70" spans="1:10">
      <c r="A70" s="472" t="s">
        <v>632</v>
      </c>
      <c r="B70" s="472"/>
      <c r="C70" s="472"/>
      <c r="D70" s="472"/>
      <c r="E70" s="472"/>
      <c r="F70" s="472"/>
      <c r="G70" s="472"/>
      <c r="H70" s="472"/>
      <c r="I70" s="472"/>
      <c r="J70" s="202"/>
    </row>
    <row r="71" spans="1:10">
      <c r="A71" s="195">
        <v>3</v>
      </c>
      <c r="B71" s="460" t="s">
        <v>633</v>
      </c>
      <c r="C71" s="460"/>
      <c r="D71" s="460"/>
      <c r="E71" s="460"/>
      <c r="F71" s="460"/>
      <c r="G71" s="460"/>
      <c r="H71" s="195" t="s">
        <v>569</v>
      </c>
      <c r="I71" s="195" t="s">
        <v>570</v>
      </c>
      <c r="J71" s="202"/>
    </row>
    <row r="72" spans="1:10">
      <c r="A72" s="195" t="s">
        <v>542</v>
      </c>
      <c r="B72" s="461" t="s">
        <v>634</v>
      </c>
      <c r="C72" s="461"/>
      <c r="D72" s="461"/>
      <c r="E72" s="461"/>
      <c r="F72" s="461"/>
      <c r="G72" s="461"/>
      <c r="H72" s="204">
        <f>(1/12)*5.5%</f>
        <v>4.5833333333333334E-3</v>
      </c>
      <c r="I72" s="197">
        <f>TRUNC(H72*$I$35,2)</f>
        <v>16.22</v>
      </c>
      <c r="J72" s="202"/>
    </row>
    <row r="73" spans="1:10">
      <c r="A73" s="195" t="s">
        <v>544</v>
      </c>
      <c r="B73" s="461" t="s">
        <v>635</v>
      </c>
      <c r="C73" s="461"/>
      <c r="D73" s="461"/>
      <c r="E73" s="461"/>
      <c r="F73" s="461"/>
      <c r="G73" s="461"/>
      <c r="H73" s="204">
        <f>H51*H72</f>
        <v>3.6666666666666667E-4</v>
      </c>
      <c r="I73" s="197">
        <f>TRUNC(H73*$I$35,2)</f>
        <v>1.29</v>
      </c>
      <c r="J73" s="202"/>
    </row>
    <row r="74" spans="1:10">
      <c r="A74" s="195" t="s">
        <v>547</v>
      </c>
      <c r="B74" s="461" t="s">
        <v>636</v>
      </c>
      <c r="C74" s="461"/>
      <c r="D74" s="461"/>
      <c r="E74" s="461"/>
      <c r="F74" s="461"/>
      <c r="G74" s="461"/>
      <c r="H74" s="204">
        <f>((7/30)/12)</f>
        <v>1.9444444444444445E-2</v>
      </c>
      <c r="I74" s="197">
        <f>TRUNC(H74*$I$35,2)</f>
        <v>68.84</v>
      </c>
      <c r="J74" s="202"/>
    </row>
    <row r="75" spans="1:10">
      <c r="A75" s="195" t="s">
        <v>550</v>
      </c>
      <c r="B75" s="461" t="s">
        <v>637</v>
      </c>
      <c r="C75" s="461"/>
      <c r="D75" s="461"/>
      <c r="E75" s="461"/>
      <c r="F75" s="461"/>
      <c r="G75" s="461"/>
      <c r="H75" s="205">
        <f>H52*H74</f>
        <v>7.1555555555555565E-3</v>
      </c>
      <c r="I75" s="197">
        <f>TRUNC(H75*$I$35,2)</f>
        <v>25.33</v>
      </c>
      <c r="J75" s="202"/>
    </row>
    <row r="76" spans="1:10" ht="24.75" customHeight="1">
      <c r="A76" s="195" t="s">
        <v>577</v>
      </c>
      <c r="B76" s="425" t="s">
        <v>638</v>
      </c>
      <c r="C76" s="425"/>
      <c r="D76" s="425"/>
      <c r="E76" s="425"/>
      <c r="F76" s="425"/>
      <c r="G76" s="425"/>
      <c r="H76" s="204">
        <v>0.04</v>
      </c>
      <c r="I76" s="197">
        <f>TRUNC(H76*$I$35,2)</f>
        <v>141.61000000000001</v>
      </c>
      <c r="J76" s="202"/>
    </row>
    <row r="77" spans="1:10">
      <c r="A77" s="460" t="s">
        <v>639</v>
      </c>
      <c r="B77" s="460"/>
      <c r="C77" s="460"/>
      <c r="D77" s="460"/>
      <c r="E77" s="460"/>
      <c r="F77" s="460"/>
      <c r="G77" s="460"/>
      <c r="H77" s="206">
        <v>8.1000000000000003E-2</v>
      </c>
      <c r="I77" s="200">
        <f>SUM(I72:I76)</f>
        <v>253.29000000000002</v>
      </c>
      <c r="J77" s="202"/>
    </row>
    <row r="78" spans="1:10">
      <c r="A78" s="443"/>
      <c r="B78" s="478"/>
      <c r="C78" s="478"/>
      <c r="D78" s="478"/>
      <c r="E78" s="478"/>
      <c r="F78" s="478"/>
      <c r="G78" s="478"/>
      <c r="H78" s="478"/>
      <c r="I78" s="478"/>
      <c r="J78" s="202"/>
    </row>
    <row r="79" spans="1:10">
      <c r="A79" s="472" t="s">
        <v>640</v>
      </c>
      <c r="B79" s="472"/>
      <c r="C79" s="472"/>
      <c r="D79" s="472"/>
      <c r="E79" s="472"/>
      <c r="F79" s="472"/>
      <c r="G79" s="472"/>
      <c r="H79" s="472"/>
      <c r="I79" s="472"/>
      <c r="J79" s="202"/>
    </row>
    <row r="80" spans="1:10">
      <c r="A80" s="460" t="s">
        <v>641</v>
      </c>
      <c r="B80" s="460"/>
      <c r="C80" s="460"/>
      <c r="D80" s="460"/>
      <c r="E80" s="460"/>
      <c r="F80" s="460"/>
      <c r="G80" s="460"/>
      <c r="H80" s="195" t="s">
        <v>569</v>
      </c>
      <c r="I80" s="195" t="s">
        <v>570</v>
      </c>
      <c r="J80" s="202"/>
    </row>
    <row r="81" spans="1:16">
      <c r="A81" s="195" t="s">
        <v>542</v>
      </c>
      <c r="B81" s="461" t="s">
        <v>642</v>
      </c>
      <c r="C81" s="461"/>
      <c r="D81" s="461"/>
      <c r="E81" s="461"/>
      <c r="F81" s="461"/>
      <c r="G81" s="461"/>
      <c r="H81" s="204">
        <f>(((1/12)+(1/12)+((1/12)/3))/12)</f>
        <v>1.6203703703703703E-2</v>
      </c>
      <c r="I81" s="197">
        <f>TRUNC($I$35*H81,2)</f>
        <v>57.36</v>
      </c>
      <c r="J81" s="202"/>
    </row>
    <row r="82" spans="1:16">
      <c r="A82" s="195" t="s">
        <v>544</v>
      </c>
      <c r="B82" s="461" t="s">
        <v>643</v>
      </c>
      <c r="C82" s="461"/>
      <c r="D82" s="461"/>
      <c r="E82" s="461"/>
      <c r="F82" s="461"/>
      <c r="G82" s="461"/>
      <c r="H82" s="204">
        <f>(1/30)/12</f>
        <v>2.7777777777777779E-3</v>
      </c>
      <c r="I82" s="197">
        <f>TRUNC($I$35*H82,2)</f>
        <v>9.83</v>
      </c>
      <c r="J82" s="202"/>
    </row>
    <row r="83" spans="1:16">
      <c r="A83" s="195" t="s">
        <v>547</v>
      </c>
      <c r="B83" s="461" t="s">
        <v>644</v>
      </c>
      <c r="C83" s="461"/>
      <c r="D83" s="461"/>
      <c r="E83" s="461"/>
      <c r="F83" s="461"/>
      <c r="G83" s="461"/>
      <c r="H83" s="204">
        <f>((5/30)/12)*1.5%</f>
        <v>2.0833333333333332E-4</v>
      </c>
      <c r="I83" s="197">
        <f>TRUNC($I$35*H83,2)</f>
        <v>0.73</v>
      </c>
      <c r="J83" s="202"/>
    </row>
    <row r="84" spans="1:16">
      <c r="A84" s="195" t="s">
        <v>550</v>
      </c>
      <c r="B84" s="461" t="s">
        <v>645</v>
      </c>
      <c r="C84" s="461"/>
      <c r="D84" s="461"/>
      <c r="E84" s="461"/>
      <c r="F84" s="461"/>
      <c r="G84" s="461"/>
      <c r="H84" s="204">
        <f>((15/30)/12)*8%</f>
        <v>3.3333333333333331E-3</v>
      </c>
      <c r="I84" s="197">
        <f>TRUNC($I$35*H84,2)</f>
        <v>11.8</v>
      </c>
      <c r="J84" s="202"/>
      <c r="P84" s="214"/>
    </row>
    <row r="85" spans="1:16">
      <c r="A85" s="195" t="s">
        <v>577</v>
      </c>
      <c r="B85" s="461" t="s">
        <v>646</v>
      </c>
      <c r="C85" s="461"/>
      <c r="D85" s="461"/>
      <c r="E85" s="461"/>
      <c r="F85" s="461"/>
      <c r="G85" s="461"/>
      <c r="H85" s="204">
        <f>(((4*8.33%)+(4*2.78%))/12)*2%</f>
        <v>7.4066666666666671E-4</v>
      </c>
      <c r="I85" s="197">
        <f>TRUNC($I$35*H85,2)</f>
        <v>2.62</v>
      </c>
      <c r="J85" s="202"/>
    </row>
    <row r="86" spans="1:16">
      <c r="A86" s="195" t="s">
        <v>579</v>
      </c>
      <c r="B86" s="461" t="s">
        <v>647</v>
      </c>
      <c r="C86" s="461"/>
      <c r="D86" s="461"/>
      <c r="E86" s="461"/>
      <c r="F86" s="461"/>
      <c r="G86" s="461"/>
      <c r="H86" s="204">
        <v>0</v>
      </c>
      <c r="I86" s="197">
        <f>TRUNC(($I$35+$I$68+$I$77)*H86,2)</f>
        <v>0</v>
      </c>
      <c r="J86" s="202"/>
    </row>
    <row r="87" spans="1:16">
      <c r="A87" s="460" t="s">
        <v>648</v>
      </c>
      <c r="B87" s="460"/>
      <c r="C87" s="460"/>
      <c r="D87" s="460"/>
      <c r="E87" s="460"/>
      <c r="F87" s="460"/>
      <c r="G87" s="460"/>
      <c r="H87" s="206">
        <f>SUM(H81:H86)</f>
        <v>2.3263814814814817E-2</v>
      </c>
      <c r="I87" s="200">
        <f>SUM(I81:I86)</f>
        <v>82.34</v>
      </c>
      <c r="J87" s="202"/>
    </row>
    <row r="88" spans="1:16">
      <c r="A88" s="474"/>
      <c r="B88" s="475"/>
      <c r="C88" s="475"/>
      <c r="D88" s="475"/>
      <c r="E88" s="475"/>
      <c r="F88" s="475"/>
      <c r="G88" s="475"/>
      <c r="H88" s="475"/>
      <c r="I88" s="475"/>
      <c r="J88" s="202"/>
    </row>
    <row r="89" spans="1:16">
      <c r="A89" s="460" t="s">
        <v>649</v>
      </c>
      <c r="B89" s="460"/>
      <c r="C89" s="460"/>
      <c r="D89" s="460"/>
      <c r="E89" s="460"/>
      <c r="F89" s="460"/>
      <c r="G89" s="460"/>
      <c r="H89" s="195" t="s">
        <v>569</v>
      </c>
      <c r="I89" s="195" t="s">
        <v>570</v>
      </c>
      <c r="J89" s="202"/>
    </row>
    <row r="90" spans="1:16">
      <c r="A90" s="195" t="s">
        <v>542</v>
      </c>
      <c r="B90" s="425" t="s">
        <v>650</v>
      </c>
      <c r="C90" s="461"/>
      <c r="D90" s="461"/>
      <c r="E90" s="461"/>
      <c r="F90" s="461"/>
      <c r="G90" s="461"/>
      <c r="H90" s="204">
        <v>0</v>
      </c>
      <c r="I90" s="197">
        <v>0</v>
      </c>
      <c r="J90" s="202"/>
    </row>
    <row r="91" spans="1:16">
      <c r="A91" s="460" t="s">
        <v>651</v>
      </c>
      <c r="B91" s="460"/>
      <c r="C91" s="460"/>
      <c r="D91" s="460"/>
      <c r="E91" s="460"/>
      <c r="F91" s="460"/>
      <c r="G91" s="460"/>
      <c r="H91" s="206">
        <v>0</v>
      </c>
      <c r="I91" s="200">
        <v>0</v>
      </c>
      <c r="J91" s="202"/>
    </row>
    <row r="92" spans="1:16">
      <c r="A92" s="476"/>
      <c r="B92" s="477"/>
      <c r="C92" s="477"/>
      <c r="D92" s="477"/>
      <c r="E92" s="477"/>
      <c r="F92" s="477"/>
      <c r="G92" s="477"/>
      <c r="H92" s="477"/>
      <c r="I92" s="477"/>
      <c r="J92" s="202"/>
    </row>
    <row r="93" spans="1:16">
      <c r="A93" s="467" t="s">
        <v>652</v>
      </c>
      <c r="B93" s="467"/>
      <c r="C93" s="467"/>
      <c r="D93" s="467"/>
      <c r="E93" s="467"/>
      <c r="F93" s="467"/>
      <c r="G93" s="467"/>
      <c r="H93" s="467"/>
      <c r="I93" s="467"/>
      <c r="J93" s="202"/>
    </row>
    <row r="94" spans="1:16">
      <c r="A94" s="460" t="s">
        <v>653</v>
      </c>
      <c r="B94" s="460"/>
      <c r="C94" s="460"/>
      <c r="D94" s="460"/>
      <c r="E94" s="460"/>
      <c r="F94" s="460"/>
      <c r="G94" s="460"/>
      <c r="H94" s="460"/>
      <c r="I94" s="195" t="s">
        <v>570</v>
      </c>
      <c r="J94" s="202"/>
    </row>
    <row r="95" spans="1:16">
      <c r="A95" s="195" t="s">
        <v>654</v>
      </c>
      <c r="B95" s="461" t="s">
        <v>655</v>
      </c>
      <c r="C95" s="461"/>
      <c r="D95" s="461"/>
      <c r="E95" s="461"/>
      <c r="F95" s="461"/>
      <c r="G95" s="461"/>
      <c r="H95" s="461"/>
      <c r="I95" s="197">
        <f>I87</f>
        <v>82.34</v>
      </c>
      <c r="J95" s="202"/>
    </row>
    <row r="96" spans="1:16">
      <c r="A96" s="195" t="s">
        <v>656</v>
      </c>
      <c r="B96" s="461" t="s">
        <v>657</v>
      </c>
      <c r="C96" s="461"/>
      <c r="D96" s="461"/>
      <c r="E96" s="461"/>
      <c r="F96" s="461"/>
      <c r="G96" s="461"/>
      <c r="H96" s="461"/>
      <c r="I96" s="197">
        <f>I91</f>
        <v>0</v>
      </c>
      <c r="J96" s="202"/>
    </row>
    <row r="97" spans="1:12">
      <c r="A97" s="460" t="s">
        <v>658</v>
      </c>
      <c r="B97" s="460"/>
      <c r="C97" s="460"/>
      <c r="D97" s="460"/>
      <c r="E97" s="460"/>
      <c r="F97" s="460"/>
      <c r="G97" s="460"/>
      <c r="H97" s="460"/>
      <c r="I97" s="200">
        <f>SUM(I95:I96)</f>
        <v>82.34</v>
      </c>
      <c r="J97" s="202"/>
    </row>
    <row r="98" spans="1:12">
      <c r="A98" s="470"/>
      <c r="B98" s="471"/>
      <c r="C98" s="471"/>
      <c r="D98" s="471"/>
      <c r="E98" s="471"/>
      <c r="F98" s="471"/>
      <c r="G98" s="471"/>
      <c r="H98" s="471"/>
      <c r="I98" s="471"/>
      <c r="J98" s="202"/>
    </row>
    <row r="99" spans="1:12">
      <c r="A99" s="472" t="s">
        <v>659</v>
      </c>
      <c r="B99" s="472"/>
      <c r="C99" s="472"/>
      <c r="D99" s="472"/>
      <c r="E99" s="472"/>
      <c r="F99" s="472"/>
      <c r="G99" s="472"/>
      <c r="H99" s="472"/>
      <c r="I99" s="472"/>
      <c r="J99" s="202"/>
    </row>
    <row r="100" spans="1:12">
      <c r="A100" s="195">
        <v>5</v>
      </c>
      <c r="B100" s="460" t="s">
        <v>660</v>
      </c>
      <c r="C100" s="460"/>
      <c r="D100" s="460"/>
      <c r="E100" s="460"/>
      <c r="F100" s="460"/>
      <c r="G100" s="460"/>
      <c r="H100" s="195"/>
      <c r="I100" s="195" t="s">
        <v>570</v>
      </c>
      <c r="J100" s="202"/>
    </row>
    <row r="101" spans="1:12">
      <c r="A101" s="195" t="s">
        <v>542</v>
      </c>
      <c r="B101" s="473" t="s">
        <v>661</v>
      </c>
      <c r="C101" s="473"/>
      <c r="D101" s="473"/>
      <c r="E101" s="473"/>
      <c r="F101" s="473"/>
      <c r="G101" s="473"/>
      <c r="H101" s="193" t="s">
        <v>534</v>
      </c>
      <c r="I101" s="197">
        <f>Resumo!E15</f>
        <v>163.70000000000002</v>
      </c>
      <c r="J101" s="202"/>
    </row>
    <row r="102" spans="1:12">
      <c r="A102" s="195" t="s">
        <v>544</v>
      </c>
      <c r="B102" s="473" t="s">
        <v>662</v>
      </c>
      <c r="C102" s="473"/>
      <c r="D102" s="473"/>
      <c r="E102" s="473"/>
      <c r="F102" s="473"/>
      <c r="G102" s="473"/>
      <c r="H102" s="193" t="s">
        <v>534</v>
      </c>
      <c r="I102" s="197">
        <f>Resumo!F71</f>
        <v>11.918499999999998</v>
      </c>
      <c r="J102" s="202"/>
    </row>
    <row r="103" spans="1:12">
      <c r="A103" s="208" t="s">
        <v>547</v>
      </c>
      <c r="B103" s="473" t="s">
        <v>663</v>
      </c>
      <c r="C103" s="473"/>
      <c r="D103" s="473"/>
      <c r="E103" s="473"/>
      <c r="F103" s="473"/>
      <c r="G103" s="473"/>
      <c r="H103" s="193" t="s">
        <v>534</v>
      </c>
      <c r="I103" s="197">
        <f>Resumo!F43</f>
        <v>10.374354166666667</v>
      </c>
      <c r="J103" s="202"/>
    </row>
    <row r="104" spans="1:12">
      <c r="A104" s="208" t="s">
        <v>550</v>
      </c>
      <c r="B104" s="473" t="s">
        <v>580</v>
      </c>
      <c r="C104" s="473"/>
      <c r="D104" s="473"/>
      <c r="E104" s="473"/>
      <c r="F104" s="473"/>
      <c r="G104" s="473"/>
      <c r="H104" s="193" t="s">
        <v>534</v>
      </c>
      <c r="I104" s="197">
        <v>0</v>
      </c>
      <c r="J104" s="202"/>
    </row>
    <row r="105" spans="1:12">
      <c r="A105" s="460" t="s">
        <v>664</v>
      </c>
      <c r="B105" s="460"/>
      <c r="C105" s="460"/>
      <c r="D105" s="460"/>
      <c r="E105" s="460"/>
      <c r="F105" s="460"/>
      <c r="G105" s="460"/>
      <c r="H105" s="206" t="s">
        <v>534</v>
      </c>
      <c r="I105" s="200">
        <f>SUM(I101:I104)</f>
        <v>185.99285416666669</v>
      </c>
      <c r="J105" s="202"/>
      <c r="K105" s="207"/>
      <c r="L105" s="215"/>
    </row>
    <row r="106" spans="1:12">
      <c r="A106" s="470"/>
      <c r="B106" s="471"/>
      <c r="C106" s="471"/>
      <c r="D106" s="471"/>
      <c r="E106" s="471"/>
      <c r="F106" s="471"/>
      <c r="G106" s="471"/>
      <c r="H106" s="471"/>
      <c r="I106" s="471"/>
      <c r="J106" s="202"/>
    </row>
    <row r="107" spans="1:12">
      <c r="A107" s="472" t="s">
        <v>665</v>
      </c>
      <c r="B107" s="472"/>
      <c r="C107" s="472"/>
      <c r="D107" s="472"/>
      <c r="E107" s="472"/>
      <c r="F107" s="472"/>
      <c r="G107" s="472"/>
      <c r="H107" s="472"/>
      <c r="I107" s="472"/>
      <c r="J107" s="202"/>
    </row>
    <row r="108" spans="1:12">
      <c r="A108" s="195">
        <v>6</v>
      </c>
      <c r="B108" s="460" t="s">
        <v>666</v>
      </c>
      <c r="C108" s="460"/>
      <c r="D108" s="460"/>
      <c r="E108" s="460"/>
      <c r="F108" s="460"/>
      <c r="G108" s="460"/>
      <c r="H108" s="195" t="s">
        <v>569</v>
      </c>
      <c r="I108" s="195" t="s">
        <v>570</v>
      </c>
      <c r="J108" s="202"/>
    </row>
    <row r="109" spans="1:12">
      <c r="A109" s="195" t="s">
        <v>542</v>
      </c>
      <c r="B109" s="461" t="s">
        <v>667</v>
      </c>
      <c r="C109" s="461"/>
      <c r="D109" s="461"/>
      <c r="E109" s="461"/>
      <c r="F109" s="461"/>
      <c r="G109" s="461"/>
      <c r="H109" s="216">
        <v>0.06</v>
      </c>
      <c r="I109" s="197">
        <f>TRUNC((($I$35+$I$68+$I$77+$I$97+$I$105)*H109),2)</f>
        <v>440.91</v>
      </c>
      <c r="J109" s="202"/>
    </row>
    <row r="110" spans="1:12">
      <c r="A110" s="195" t="s">
        <v>544</v>
      </c>
      <c r="B110" s="461" t="s">
        <v>668</v>
      </c>
      <c r="C110" s="461"/>
      <c r="D110" s="461"/>
      <c r="E110" s="461"/>
      <c r="F110" s="461"/>
      <c r="G110" s="461"/>
      <c r="H110" s="216">
        <v>6.7900000000000002E-2</v>
      </c>
      <c r="I110" s="197">
        <f>TRUNC((($I$35+$I$68+$I$77+$I$97+$I$105+I109)*H110),2)</f>
        <v>528.9</v>
      </c>
      <c r="J110" s="202"/>
    </row>
    <row r="111" spans="1:12">
      <c r="A111" s="195" t="s">
        <v>547</v>
      </c>
      <c r="B111" s="468" t="s">
        <v>669</v>
      </c>
      <c r="C111" s="468"/>
      <c r="D111" s="468"/>
      <c r="E111" s="468"/>
      <c r="F111" s="468"/>
      <c r="G111" s="468"/>
      <c r="H111" s="198"/>
      <c r="I111" s="217"/>
      <c r="J111" s="202"/>
    </row>
    <row r="112" spans="1:12">
      <c r="A112" s="195" t="s">
        <v>670</v>
      </c>
      <c r="B112" s="461" t="s">
        <v>671</v>
      </c>
      <c r="C112" s="461"/>
      <c r="D112" s="461"/>
      <c r="E112" s="461"/>
      <c r="F112" s="461"/>
      <c r="G112" s="461"/>
      <c r="H112" s="218">
        <v>6.4999999999999997E-3</v>
      </c>
      <c r="I112" s="197">
        <f>TRUNC(H112*I122,2)</f>
        <v>59.18</v>
      </c>
      <c r="J112" s="202"/>
    </row>
    <row r="113" spans="1:10">
      <c r="A113" s="195" t="s">
        <v>672</v>
      </c>
      <c r="B113" s="461" t="s">
        <v>673</v>
      </c>
      <c r="C113" s="461"/>
      <c r="D113" s="461"/>
      <c r="E113" s="461"/>
      <c r="F113" s="461"/>
      <c r="G113" s="461"/>
      <c r="H113" s="218">
        <v>0.03</v>
      </c>
      <c r="I113" s="197">
        <f>TRUNC(H113*I122,2)</f>
        <v>273.18</v>
      </c>
      <c r="J113" s="202"/>
    </row>
    <row r="114" spans="1:10">
      <c r="A114" s="195" t="s">
        <v>674</v>
      </c>
      <c r="B114" s="461" t="s">
        <v>675</v>
      </c>
      <c r="C114" s="461"/>
      <c r="D114" s="461"/>
      <c r="E114" s="461"/>
      <c r="F114" s="461"/>
      <c r="G114" s="461"/>
      <c r="H114" s="218">
        <v>0.05</v>
      </c>
      <c r="I114" s="197">
        <f>TRUNC(H114*I122,2)</f>
        <v>455.3</v>
      </c>
      <c r="J114" s="219"/>
    </row>
    <row r="115" spans="1:10">
      <c r="A115" s="460" t="s">
        <v>676</v>
      </c>
      <c r="B115" s="460"/>
      <c r="C115" s="460"/>
      <c r="D115" s="460"/>
      <c r="E115" s="460"/>
      <c r="F115" s="460"/>
      <c r="G115" s="460"/>
      <c r="H115" s="218">
        <f>SUM(H109:H114)</f>
        <v>0.21440000000000003</v>
      </c>
      <c r="I115" s="200">
        <f>SUM(I109:I114)</f>
        <v>1757.47</v>
      </c>
      <c r="J115" s="202"/>
    </row>
    <row r="116" spans="1:10">
      <c r="A116" s="191"/>
      <c r="B116" s="469"/>
      <c r="C116" s="469"/>
      <c r="D116" s="469"/>
      <c r="E116" s="469"/>
      <c r="F116" s="469"/>
      <c r="G116" s="469"/>
      <c r="H116" s="469"/>
      <c r="I116" s="469"/>
      <c r="J116" s="190"/>
    </row>
    <row r="117" spans="1:10">
      <c r="A117" s="220" t="s">
        <v>677</v>
      </c>
      <c r="B117" s="464" t="s">
        <v>678</v>
      </c>
      <c r="C117" s="464"/>
      <c r="D117" s="464"/>
      <c r="E117" s="464"/>
      <c r="F117" s="464"/>
      <c r="G117" s="464"/>
      <c r="H117" s="221">
        <f>H112+H113+H114</f>
        <v>8.6499999999999994E-2</v>
      </c>
      <c r="I117" s="222"/>
      <c r="J117" s="190"/>
    </row>
    <row r="118" spans="1:10">
      <c r="A118" s="223"/>
      <c r="B118" s="465">
        <v>100</v>
      </c>
      <c r="C118" s="465"/>
      <c r="D118" s="465"/>
      <c r="E118" s="465"/>
      <c r="F118" s="465"/>
      <c r="G118" s="465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5" t="s">
        <v>680</v>
      </c>
      <c r="C120" s="465"/>
      <c r="D120" s="465"/>
      <c r="E120" s="465"/>
      <c r="F120" s="465"/>
      <c r="G120" s="465"/>
      <c r="H120" s="225"/>
      <c r="I120" s="226">
        <f>I35+I68+I77+I97+I105+I109+I110</f>
        <v>8318.3928541666664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5" t="s">
        <v>682</v>
      </c>
      <c r="C122" s="465"/>
      <c r="D122" s="465"/>
      <c r="E122" s="465"/>
      <c r="F122" s="465"/>
      <c r="G122" s="465"/>
      <c r="H122" s="225"/>
      <c r="I122" s="226">
        <f>TRUNC(I120/(1-H117),2)</f>
        <v>9106.06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66" t="s">
        <v>683</v>
      </c>
      <c r="C124" s="466"/>
      <c r="D124" s="466"/>
      <c r="E124" s="466"/>
      <c r="F124" s="466"/>
      <c r="G124" s="466"/>
      <c r="H124" s="229"/>
      <c r="I124" s="230">
        <f>I122-I120</f>
        <v>787.66714583333305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67" t="s">
        <v>684</v>
      </c>
      <c r="B126" s="467"/>
      <c r="C126" s="467"/>
      <c r="D126" s="467"/>
      <c r="E126" s="467"/>
      <c r="F126" s="467"/>
      <c r="G126" s="467"/>
      <c r="H126" s="467"/>
      <c r="I126" s="467"/>
      <c r="J126" s="190"/>
    </row>
    <row r="127" spans="1:10">
      <c r="A127" s="460" t="s">
        <v>685</v>
      </c>
      <c r="B127" s="460"/>
      <c r="C127" s="460"/>
      <c r="D127" s="460"/>
      <c r="E127" s="460"/>
      <c r="F127" s="460"/>
      <c r="G127" s="460"/>
      <c r="H127" s="460"/>
      <c r="I127" s="195" t="s">
        <v>570</v>
      </c>
      <c r="J127" s="190"/>
    </row>
    <row r="128" spans="1:10">
      <c r="A128" s="193" t="s">
        <v>542</v>
      </c>
      <c r="B128" s="461" t="s">
        <v>567</v>
      </c>
      <c r="C128" s="461"/>
      <c r="D128" s="461"/>
      <c r="E128" s="461"/>
      <c r="F128" s="461"/>
      <c r="G128" s="461"/>
      <c r="H128" s="461"/>
      <c r="I128" s="197">
        <f>I35</f>
        <v>3540.43</v>
      </c>
    </row>
    <row r="129" spans="1:9">
      <c r="A129" s="193" t="s">
        <v>544</v>
      </c>
      <c r="B129" s="461" t="s">
        <v>582</v>
      </c>
      <c r="C129" s="461"/>
      <c r="D129" s="461"/>
      <c r="E129" s="461"/>
      <c r="F129" s="461"/>
      <c r="G129" s="461"/>
      <c r="H129" s="461"/>
      <c r="I129" s="197">
        <f>I68</f>
        <v>3286.53</v>
      </c>
    </row>
    <row r="130" spans="1:9">
      <c r="A130" s="193" t="s">
        <v>547</v>
      </c>
      <c r="B130" s="461" t="s">
        <v>632</v>
      </c>
      <c r="C130" s="461"/>
      <c r="D130" s="461"/>
      <c r="E130" s="461"/>
      <c r="F130" s="461"/>
      <c r="G130" s="461"/>
      <c r="H130" s="461"/>
      <c r="I130" s="197">
        <f>I77</f>
        <v>253.29000000000002</v>
      </c>
    </row>
    <row r="131" spans="1:9">
      <c r="A131" s="193" t="s">
        <v>550</v>
      </c>
      <c r="B131" s="461" t="s">
        <v>640</v>
      </c>
      <c r="C131" s="461"/>
      <c r="D131" s="461"/>
      <c r="E131" s="461"/>
      <c r="F131" s="461"/>
      <c r="G131" s="461"/>
      <c r="H131" s="461"/>
      <c r="I131" s="197">
        <f>I97</f>
        <v>82.34</v>
      </c>
    </row>
    <row r="132" spans="1:9">
      <c r="A132" s="193" t="s">
        <v>577</v>
      </c>
      <c r="B132" s="461" t="s">
        <v>659</v>
      </c>
      <c r="C132" s="461"/>
      <c r="D132" s="461"/>
      <c r="E132" s="461"/>
      <c r="F132" s="461"/>
      <c r="G132" s="461"/>
      <c r="H132" s="461"/>
      <c r="I132" s="197">
        <f>I105</f>
        <v>185.99285416666669</v>
      </c>
    </row>
    <row r="133" spans="1:9">
      <c r="A133" s="195"/>
      <c r="B133" s="460" t="s">
        <v>686</v>
      </c>
      <c r="C133" s="460"/>
      <c r="D133" s="460"/>
      <c r="E133" s="460"/>
      <c r="F133" s="460"/>
      <c r="G133" s="460"/>
      <c r="H133" s="460"/>
      <c r="I133" s="200">
        <f>SUM(I128:I132)</f>
        <v>7348.5828541666669</v>
      </c>
    </row>
    <row r="134" spans="1:9">
      <c r="A134" s="193" t="s">
        <v>579</v>
      </c>
      <c r="B134" s="461" t="s">
        <v>665</v>
      </c>
      <c r="C134" s="461"/>
      <c r="D134" s="461"/>
      <c r="E134" s="461"/>
      <c r="F134" s="461"/>
      <c r="G134" s="461"/>
      <c r="H134" s="461"/>
      <c r="I134" s="197">
        <f>I115</f>
        <v>1757.47</v>
      </c>
    </row>
    <row r="135" spans="1:9">
      <c r="A135" s="460" t="s">
        <v>687</v>
      </c>
      <c r="B135" s="460"/>
      <c r="C135" s="460"/>
      <c r="D135" s="460"/>
      <c r="E135" s="460"/>
      <c r="F135" s="460"/>
      <c r="G135" s="460"/>
      <c r="H135" s="460"/>
      <c r="I135" s="200">
        <f>I133+I134</f>
        <v>9106.0528541666663</v>
      </c>
    </row>
    <row r="136" spans="1:9">
      <c r="A136" s="460" t="s">
        <v>688</v>
      </c>
      <c r="B136" s="460"/>
      <c r="C136" s="460"/>
      <c r="D136" s="460"/>
      <c r="E136" s="460"/>
      <c r="F136" s="460"/>
      <c r="G136" s="460"/>
      <c r="H136" s="460"/>
      <c r="I136" s="254">
        <f>TRUNC(I135*2,2)</f>
        <v>18212.099999999999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9" t="s">
        <v>689</v>
      </c>
      <c r="C138" s="429"/>
      <c r="D138" s="429"/>
      <c r="E138" s="429"/>
      <c r="F138" s="429"/>
      <c r="G138" s="429"/>
      <c r="H138" s="192"/>
      <c r="I138" s="192"/>
    </row>
    <row r="139" spans="1:9" ht="64.5" hidden="1" thickBot="1">
      <c r="A139" s="462" t="s">
        <v>690</v>
      </c>
      <c r="B139" s="463"/>
      <c r="C139" s="462" t="s">
        <v>691</v>
      </c>
      <c r="D139" s="463"/>
      <c r="E139" s="462" t="s">
        <v>692</v>
      </c>
      <c r="F139" s="463"/>
      <c r="G139" s="231" t="s">
        <v>693</v>
      </c>
      <c r="H139" s="232" t="s">
        <v>694</v>
      </c>
      <c r="I139" s="233" t="s">
        <v>570</v>
      </c>
    </row>
    <row r="140" spans="1:9" hidden="1">
      <c r="A140" s="454" t="s">
        <v>695</v>
      </c>
      <c r="B140" s="455"/>
      <c r="C140" s="456" t="s">
        <v>478</v>
      </c>
      <c r="D140" s="457"/>
      <c r="E140" s="458"/>
      <c r="F140" s="459"/>
      <c r="G140" s="235" t="s">
        <v>478</v>
      </c>
      <c r="H140" s="236"/>
      <c r="I140" s="237">
        <v>0</v>
      </c>
    </row>
    <row r="141" spans="1:9" hidden="1">
      <c r="A141" s="450" t="s">
        <v>696</v>
      </c>
      <c r="B141" s="451"/>
      <c r="C141" s="452" t="s">
        <v>478</v>
      </c>
      <c r="D141" s="453"/>
      <c r="E141" s="444"/>
      <c r="F141" s="445"/>
      <c r="G141" s="211" t="s">
        <v>478</v>
      </c>
      <c r="H141" s="239"/>
      <c r="I141" s="240">
        <v>0</v>
      </c>
    </row>
    <row r="142" spans="1:9" hidden="1">
      <c r="A142" s="450" t="s">
        <v>697</v>
      </c>
      <c r="B142" s="451"/>
      <c r="C142" s="452" t="s">
        <v>478</v>
      </c>
      <c r="D142" s="453"/>
      <c r="E142" s="444"/>
      <c r="F142" s="445"/>
      <c r="G142" s="211" t="s">
        <v>478</v>
      </c>
      <c r="H142" s="239"/>
      <c r="I142" s="240">
        <v>0</v>
      </c>
    </row>
    <row r="143" spans="1:9" hidden="1">
      <c r="A143" s="450" t="s">
        <v>698</v>
      </c>
      <c r="B143" s="451"/>
      <c r="C143" s="452" t="s">
        <v>478</v>
      </c>
      <c r="D143" s="453"/>
      <c r="E143" s="444"/>
      <c r="F143" s="445"/>
      <c r="G143" s="211" t="s">
        <v>478</v>
      </c>
      <c r="H143" s="239"/>
      <c r="I143" s="240">
        <v>0</v>
      </c>
    </row>
    <row r="144" spans="1:9" hidden="1">
      <c r="A144" s="442"/>
      <c r="B144" s="443"/>
      <c r="C144" s="444"/>
      <c r="D144" s="445"/>
      <c r="E144" s="444"/>
      <c r="F144" s="445"/>
      <c r="G144" s="241"/>
      <c r="H144" s="242"/>
      <c r="I144" s="240"/>
    </row>
    <row r="145" spans="1:9" ht="15.75" hidden="1" thickBot="1">
      <c r="A145" s="446"/>
      <c r="B145" s="447"/>
      <c r="C145" s="448"/>
      <c r="D145" s="449"/>
      <c r="E145" s="448"/>
      <c r="F145" s="449"/>
      <c r="G145" s="243"/>
      <c r="H145" s="244"/>
      <c r="I145" s="245"/>
    </row>
    <row r="146" spans="1:9" ht="15.75" hidden="1" thickBot="1">
      <c r="A146" s="426" t="s">
        <v>699</v>
      </c>
      <c r="B146" s="427"/>
      <c r="C146" s="427"/>
      <c r="D146" s="427"/>
      <c r="E146" s="427"/>
      <c r="F146" s="427"/>
      <c r="G146" s="427"/>
      <c r="H146" s="42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9" t="s">
        <v>701</v>
      </c>
      <c r="C148" s="429"/>
      <c r="D148" s="429"/>
      <c r="E148" s="429"/>
      <c r="F148" s="429"/>
      <c r="G148" s="429"/>
      <c r="H148" s="192"/>
      <c r="I148" s="192"/>
    </row>
    <row r="149" spans="1:9" ht="15.75" hidden="1" thickBot="1">
      <c r="A149" s="430" t="s">
        <v>702</v>
      </c>
      <c r="B149" s="431"/>
      <c r="C149" s="431"/>
      <c r="D149" s="431"/>
      <c r="E149" s="431"/>
      <c r="F149" s="431"/>
      <c r="G149" s="431"/>
      <c r="H149" s="431"/>
      <c r="I149" s="432"/>
    </row>
    <row r="150" spans="1:9" ht="15.75" hidden="1" thickBot="1">
      <c r="A150" s="247"/>
      <c r="B150" s="433" t="s">
        <v>703</v>
      </c>
      <c r="C150" s="434"/>
      <c r="D150" s="434"/>
      <c r="E150" s="434"/>
      <c r="F150" s="434"/>
      <c r="G150" s="434"/>
      <c r="H150" s="435"/>
      <c r="I150" s="233" t="s">
        <v>570</v>
      </c>
    </row>
    <row r="151" spans="1:9" hidden="1">
      <c r="A151" s="234" t="s">
        <v>542</v>
      </c>
      <c r="B151" s="436" t="s">
        <v>704</v>
      </c>
      <c r="C151" s="437"/>
      <c r="D151" s="437"/>
      <c r="E151" s="437"/>
      <c r="F151" s="437"/>
      <c r="G151" s="437"/>
      <c r="H151" s="438"/>
      <c r="I151" s="248">
        <v>115.15</v>
      </c>
    </row>
    <row r="152" spans="1:9" hidden="1">
      <c r="A152" s="238" t="s">
        <v>544</v>
      </c>
      <c r="B152" s="439" t="s">
        <v>705</v>
      </c>
      <c r="C152" s="440"/>
      <c r="D152" s="440"/>
      <c r="E152" s="440"/>
      <c r="F152" s="440"/>
      <c r="G152" s="440"/>
      <c r="H152" s="441"/>
      <c r="I152" s="249" t="e">
        <v>#REF!</v>
      </c>
    </row>
    <row r="153" spans="1:9" ht="15.75" hidden="1" thickBot="1">
      <c r="A153" s="238" t="s">
        <v>547</v>
      </c>
      <c r="B153" s="418" t="s">
        <v>706</v>
      </c>
      <c r="C153" s="419"/>
      <c r="D153" s="419"/>
      <c r="E153" s="419"/>
      <c r="F153" s="419"/>
      <c r="G153" s="419"/>
      <c r="H153" s="420"/>
      <c r="I153" s="249">
        <v>1641.84</v>
      </c>
    </row>
    <row r="154" spans="1:9" ht="15.75" hidden="1" thickBot="1">
      <c r="A154" s="421" t="s">
        <v>707</v>
      </c>
      <c r="B154" s="422"/>
      <c r="C154" s="422"/>
      <c r="D154" s="422"/>
      <c r="E154" s="422"/>
      <c r="F154" s="422"/>
      <c r="G154" s="422"/>
      <c r="H154" s="423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24" t="s">
        <v>710</v>
      </c>
      <c r="B158" s="424"/>
      <c r="C158" s="424"/>
      <c r="D158" s="424"/>
      <c r="E158" s="424"/>
      <c r="F158" s="424"/>
      <c r="G158" s="424"/>
      <c r="H158" s="424"/>
      <c r="I158" s="250">
        <f>I135/I35</f>
        <v>2.5720188943621727</v>
      </c>
    </row>
    <row r="159" spans="1:9" ht="31.5" customHeight="1">
      <c r="A159" s="425" t="s">
        <v>711</v>
      </c>
      <c r="B159" s="425"/>
      <c r="C159" s="425"/>
      <c r="D159" s="425"/>
      <c r="E159" s="425"/>
      <c r="F159" s="425"/>
      <c r="G159" s="425"/>
      <c r="H159" s="425"/>
      <c r="I159" s="425"/>
    </row>
    <row r="160" spans="1:9" ht="63" customHeight="1">
      <c r="A160" s="425" t="s">
        <v>712</v>
      </c>
      <c r="B160" s="425"/>
      <c r="C160" s="425"/>
      <c r="D160" s="425"/>
      <c r="E160" s="425"/>
      <c r="F160" s="425"/>
      <c r="G160" s="425"/>
      <c r="H160" s="425"/>
      <c r="I160" s="425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1"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  <mergeCell ref="E143:F143"/>
    <mergeCell ref="B153:H153"/>
    <mergeCell ref="A154:H154"/>
    <mergeCell ref="A158:H158"/>
    <mergeCell ref="A159:I159"/>
    <mergeCell ref="A160:I160"/>
    <mergeCell ref="A146:H146"/>
    <mergeCell ref="B148:G148"/>
    <mergeCell ref="A149:I149"/>
    <mergeCell ref="B150:H150"/>
    <mergeCell ref="B151:H151"/>
    <mergeCell ref="B152:H152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F5F3A-B0DD-47F3-997F-AD7E991B468E}">
  <dimension ref="A1:N163"/>
  <sheetViews>
    <sheetView topLeftCell="A121" workbookViewId="0">
      <selection activeCell="A2" sqref="A2:I2"/>
    </sheetView>
  </sheetViews>
  <sheetFormatPr defaultColWidth="9.140625"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1" max="11" width="79.5703125" customWidth="1"/>
  </cols>
  <sheetData>
    <row r="1" spans="1:9" ht="42" customHeight="1">
      <c r="A1" s="190"/>
      <c r="B1" s="505" t="s">
        <v>535</v>
      </c>
      <c r="C1" s="506"/>
      <c r="D1" s="506"/>
      <c r="E1" s="506"/>
      <c r="F1" s="506"/>
      <c r="G1" s="506"/>
      <c r="H1" s="506"/>
      <c r="I1" s="506"/>
    </row>
    <row r="2" spans="1:9">
      <c r="A2" s="429"/>
      <c r="B2" s="429"/>
      <c r="C2" s="429"/>
      <c r="D2" s="429"/>
      <c r="E2" s="429"/>
      <c r="F2" s="429"/>
      <c r="G2" s="429"/>
      <c r="H2" s="429"/>
      <c r="I2" s="429"/>
    </row>
    <row r="3" spans="1:9">
      <c r="A3" s="507" t="s">
        <v>536</v>
      </c>
      <c r="B3" s="507"/>
      <c r="C3" s="507"/>
      <c r="D3" s="507"/>
      <c r="E3" s="507"/>
      <c r="F3" s="507"/>
      <c r="G3" s="507"/>
      <c r="H3" s="507"/>
      <c r="I3" s="507"/>
    </row>
    <row r="4" spans="1:9">
      <c r="A4" s="508" t="s">
        <v>537</v>
      </c>
      <c r="B4" s="508"/>
      <c r="C4" s="508"/>
      <c r="D4" s="508"/>
      <c r="E4" s="508"/>
      <c r="F4" s="508"/>
      <c r="G4" s="508"/>
      <c r="H4" s="508"/>
      <c r="I4" s="508"/>
    </row>
    <row r="5" spans="1:9">
      <c r="A5" s="508" t="s">
        <v>538</v>
      </c>
      <c r="B5" s="508"/>
      <c r="C5" s="508"/>
      <c r="D5" s="508"/>
      <c r="E5" s="508"/>
      <c r="F5" s="508"/>
      <c r="G5" s="508"/>
      <c r="H5" s="508"/>
      <c r="I5" s="508"/>
    </row>
    <row r="6" spans="1:9">
      <c r="A6" s="509" t="s">
        <v>539</v>
      </c>
      <c r="B6" s="509"/>
      <c r="C6" s="509"/>
      <c r="D6" s="509"/>
      <c r="E6" s="509"/>
      <c r="F6" s="509"/>
      <c r="G6" s="509"/>
      <c r="H6" s="509"/>
      <c r="I6" s="509"/>
    </row>
    <row r="7" spans="1:9">
      <c r="A7" s="429"/>
      <c r="B7" s="429"/>
      <c r="C7" s="429"/>
      <c r="D7" s="429"/>
      <c r="E7" s="429"/>
      <c r="F7" s="429"/>
      <c r="G7" s="429"/>
      <c r="H7" s="429"/>
      <c r="I7" s="429"/>
    </row>
    <row r="8" spans="1:9">
      <c r="A8" s="503" t="s">
        <v>540</v>
      </c>
      <c r="B8" s="503"/>
      <c r="C8" s="503"/>
      <c r="D8" s="503"/>
      <c r="E8" s="503"/>
      <c r="F8" s="503"/>
      <c r="G8" s="503"/>
      <c r="H8" s="503"/>
      <c r="I8" s="503"/>
    </row>
    <row r="9" spans="1:9">
      <c r="A9" s="504"/>
      <c r="B9" s="504"/>
      <c r="C9" s="504"/>
      <c r="D9" s="504"/>
      <c r="E9" s="504"/>
      <c r="F9" s="504"/>
      <c r="G9" s="504"/>
      <c r="H9" s="504"/>
      <c r="I9" s="504"/>
    </row>
    <row r="10" spans="1:9">
      <c r="A10" s="467" t="s">
        <v>541</v>
      </c>
      <c r="B10" s="467"/>
      <c r="C10" s="467"/>
      <c r="D10" s="467"/>
      <c r="E10" s="467"/>
      <c r="F10" s="467"/>
      <c r="G10" s="467"/>
      <c r="H10" s="467"/>
      <c r="I10" s="467"/>
    </row>
    <row r="11" spans="1:9">
      <c r="A11" s="193" t="s">
        <v>542</v>
      </c>
      <c r="B11" s="461" t="s">
        <v>543</v>
      </c>
      <c r="C11" s="461"/>
      <c r="D11" s="461"/>
      <c r="E11" s="461"/>
      <c r="F11" s="461"/>
      <c r="G11" s="461"/>
      <c r="H11" s="501"/>
      <c r="I11" s="450"/>
    </row>
    <row r="12" spans="1:9">
      <c r="A12" s="193" t="s">
        <v>544</v>
      </c>
      <c r="B12" s="461" t="s">
        <v>545</v>
      </c>
      <c r="C12" s="461"/>
      <c r="D12" s="461"/>
      <c r="E12" s="461"/>
      <c r="F12" s="461"/>
      <c r="G12" s="461"/>
      <c r="H12" s="450" t="s">
        <v>546</v>
      </c>
      <c r="I12" s="450"/>
    </row>
    <row r="13" spans="1:9" ht="15" customHeight="1">
      <c r="A13" s="193" t="s">
        <v>547</v>
      </c>
      <c r="B13" s="461" t="s">
        <v>548</v>
      </c>
      <c r="C13" s="461"/>
      <c r="D13" s="461"/>
      <c r="E13" s="461"/>
      <c r="F13" s="461"/>
      <c r="G13" s="461"/>
      <c r="H13" s="510" t="s">
        <v>549</v>
      </c>
      <c r="I13" s="450"/>
    </row>
    <row r="14" spans="1:9">
      <c r="A14" s="193" t="s">
        <v>550</v>
      </c>
      <c r="B14" s="461" t="s">
        <v>551</v>
      </c>
      <c r="C14" s="461"/>
      <c r="D14" s="461"/>
      <c r="E14" s="461"/>
      <c r="F14" s="461"/>
      <c r="G14" s="461"/>
      <c r="H14" s="450">
        <v>12</v>
      </c>
      <c r="I14" s="450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67" t="s">
        <v>552</v>
      </c>
      <c r="B16" s="467"/>
      <c r="C16" s="467"/>
      <c r="D16" s="467"/>
      <c r="E16" s="467"/>
      <c r="F16" s="467"/>
      <c r="G16" s="467"/>
      <c r="H16" s="467"/>
      <c r="I16" s="467"/>
    </row>
    <row r="17" spans="1:14">
      <c r="A17" s="450" t="s">
        <v>553</v>
      </c>
      <c r="B17" s="450"/>
      <c r="C17" s="450" t="s">
        <v>554</v>
      </c>
      <c r="D17" s="450"/>
      <c r="E17" s="450" t="s">
        <v>555</v>
      </c>
      <c r="F17" s="450"/>
      <c r="G17" s="450"/>
      <c r="H17" s="450"/>
      <c r="I17" s="450"/>
      <c r="J17" s="190"/>
    </row>
    <row r="18" spans="1:14">
      <c r="A18" s="450" t="s">
        <v>723</v>
      </c>
      <c r="B18" s="450"/>
      <c r="C18" s="450" t="s">
        <v>557</v>
      </c>
      <c r="D18" s="450"/>
      <c r="E18" s="450">
        <v>2</v>
      </c>
      <c r="F18" s="450"/>
      <c r="G18" s="450"/>
      <c r="H18" s="450"/>
      <c r="I18" s="450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67" t="s">
        <v>558</v>
      </c>
      <c r="B20" s="467"/>
      <c r="C20" s="467"/>
      <c r="D20" s="467"/>
      <c r="E20" s="467"/>
      <c r="F20" s="467"/>
      <c r="G20" s="467"/>
      <c r="H20" s="467"/>
      <c r="I20" s="467"/>
      <c r="J20" s="190"/>
    </row>
    <row r="21" spans="1:14">
      <c r="A21" s="193">
        <v>1</v>
      </c>
      <c r="B21" s="461" t="s">
        <v>559</v>
      </c>
      <c r="C21" s="461"/>
      <c r="D21" s="461"/>
      <c r="E21" s="461"/>
      <c r="F21" s="461"/>
      <c r="G21" s="461"/>
      <c r="H21" s="450" t="s">
        <v>724</v>
      </c>
      <c r="I21" s="450"/>
      <c r="J21" s="190"/>
    </row>
    <row r="22" spans="1:14">
      <c r="A22" s="193">
        <v>2</v>
      </c>
      <c r="B22" s="461" t="s">
        <v>561</v>
      </c>
      <c r="C22" s="461"/>
      <c r="D22" s="461"/>
      <c r="E22" s="461"/>
      <c r="F22" s="461"/>
      <c r="G22" s="461"/>
      <c r="H22" s="450" t="s">
        <v>562</v>
      </c>
      <c r="I22" s="450"/>
      <c r="J22" s="190"/>
    </row>
    <row r="23" spans="1:14">
      <c r="A23" s="193">
        <v>3</v>
      </c>
      <c r="B23" s="461" t="s">
        <v>563</v>
      </c>
      <c r="C23" s="461"/>
      <c r="D23" s="461"/>
      <c r="E23" s="461"/>
      <c r="F23" s="461"/>
      <c r="G23" s="461"/>
      <c r="H23" s="502">
        <v>2723.41</v>
      </c>
      <c r="I23" s="450"/>
      <c r="J23" s="190"/>
    </row>
    <row r="24" spans="1:14">
      <c r="A24" s="193">
        <v>4</v>
      </c>
      <c r="B24" s="461" t="s">
        <v>564</v>
      </c>
      <c r="C24" s="461"/>
      <c r="D24" s="461"/>
      <c r="E24" s="461"/>
      <c r="F24" s="461"/>
      <c r="G24" s="461"/>
      <c r="H24" s="460" t="s">
        <v>565</v>
      </c>
      <c r="I24" s="460"/>
      <c r="J24" s="190"/>
    </row>
    <row r="25" spans="1:14">
      <c r="A25" s="193">
        <v>5</v>
      </c>
      <c r="B25" s="461" t="s">
        <v>566</v>
      </c>
      <c r="C25" s="461"/>
      <c r="D25" s="461"/>
      <c r="E25" s="461"/>
      <c r="F25" s="461"/>
      <c r="G25" s="461"/>
      <c r="H25" s="501">
        <v>45292</v>
      </c>
      <c r="I25" s="450"/>
      <c r="J25" s="190"/>
    </row>
    <row r="26" spans="1:14">
      <c r="A26" s="429"/>
      <c r="B26" s="429"/>
      <c r="C26" s="429"/>
      <c r="D26" s="429"/>
      <c r="E26" s="429"/>
      <c r="F26" s="429"/>
      <c r="G26" s="429"/>
      <c r="H26" s="429"/>
      <c r="I26" s="429"/>
      <c r="J26" s="190"/>
    </row>
    <row r="27" spans="1:14">
      <c r="A27" s="472" t="s">
        <v>567</v>
      </c>
      <c r="B27" s="472"/>
      <c r="C27" s="472"/>
      <c r="D27" s="472"/>
      <c r="E27" s="472"/>
      <c r="F27" s="472"/>
      <c r="G27" s="472"/>
      <c r="H27" s="472"/>
      <c r="I27" s="472"/>
      <c r="J27" s="190"/>
    </row>
    <row r="28" spans="1:14">
      <c r="A28" s="195">
        <v>1</v>
      </c>
      <c r="B28" s="460" t="s">
        <v>568</v>
      </c>
      <c r="C28" s="460"/>
      <c r="D28" s="460"/>
      <c r="E28" s="460"/>
      <c r="F28" s="460"/>
      <c r="G28" s="460"/>
      <c r="H28" s="195" t="s">
        <v>569</v>
      </c>
      <c r="I28" s="195" t="s">
        <v>570</v>
      </c>
      <c r="J28" s="190"/>
    </row>
    <row r="29" spans="1:14">
      <c r="A29" s="195" t="s">
        <v>542</v>
      </c>
      <c r="B29" s="461" t="s">
        <v>571</v>
      </c>
      <c r="C29" s="461"/>
      <c r="D29" s="461"/>
      <c r="E29" s="461"/>
      <c r="F29" s="461"/>
      <c r="G29" s="461"/>
      <c r="H29" s="196"/>
      <c r="I29" s="197">
        <f>H23</f>
        <v>2723.41</v>
      </c>
      <c r="J29" s="498" t="s">
        <v>572</v>
      </c>
      <c r="K29" s="499"/>
      <c r="L29" s="499"/>
      <c r="M29" s="499"/>
      <c r="N29" s="500"/>
    </row>
    <row r="30" spans="1:14">
      <c r="A30" s="195" t="s">
        <v>544</v>
      </c>
      <c r="B30" s="461" t="s">
        <v>573</v>
      </c>
      <c r="C30" s="461"/>
      <c r="D30" s="461"/>
      <c r="E30" s="461"/>
      <c r="F30" s="461"/>
      <c r="G30" s="461"/>
      <c r="H30" s="198">
        <v>0.3</v>
      </c>
      <c r="I30" s="197">
        <f>TRUNC(I29*H30,2)</f>
        <v>817.02</v>
      </c>
      <c r="J30" s="498" t="s">
        <v>574</v>
      </c>
      <c r="K30" s="499"/>
      <c r="L30" s="499"/>
      <c r="M30" s="499"/>
      <c r="N30" s="500"/>
    </row>
    <row r="31" spans="1:14">
      <c r="A31" s="195" t="s">
        <v>547</v>
      </c>
      <c r="B31" s="461" t="s">
        <v>575</v>
      </c>
      <c r="C31" s="461"/>
      <c r="D31" s="461"/>
      <c r="E31" s="461"/>
      <c r="F31" s="461"/>
      <c r="G31" s="461"/>
      <c r="H31" s="198"/>
      <c r="I31" s="197">
        <v>0</v>
      </c>
      <c r="J31" s="190"/>
    </row>
    <row r="32" spans="1:14">
      <c r="A32" s="195" t="s">
        <v>550</v>
      </c>
      <c r="B32" s="461" t="s">
        <v>715</v>
      </c>
      <c r="C32" s="461"/>
      <c r="D32" s="461"/>
      <c r="E32" s="461"/>
      <c r="F32" s="461"/>
      <c r="G32" s="461"/>
      <c r="H32" s="198">
        <v>0.2</v>
      </c>
      <c r="I32" s="197">
        <f>TRUNC((I29+I30)/220*H32*(7*15),2)</f>
        <v>337.95</v>
      </c>
      <c r="J32" s="498" t="s">
        <v>716</v>
      </c>
      <c r="K32" s="499"/>
      <c r="L32" s="499"/>
      <c r="M32" s="499"/>
      <c r="N32" s="500"/>
    </row>
    <row r="33" spans="1:14">
      <c r="A33" s="195" t="s">
        <v>577</v>
      </c>
      <c r="B33" s="461" t="s">
        <v>717</v>
      </c>
      <c r="C33" s="461"/>
      <c r="D33" s="461"/>
      <c r="E33" s="461"/>
      <c r="F33" s="461"/>
      <c r="G33" s="461"/>
      <c r="H33" s="199">
        <f>60/52.5-1</f>
        <v>0.14285714285714279</v>
      </c>
      <c r="I33" s="197">
        <f>TRUNC(I32*H33,2)</f>
        <v>48.27</v>
      </c>
      <c r="J33" s="498" t="s">
        <v>718</v>
      </c>
      <c r="K33" s="499"/>
      <c r="L33" s="499"/>
      <c r="M33" s="499"/>
      <c r="N33" s="500"/>
    </row>
    <row r="34" spans="1:14">
      <c r="A34" s="195" t="s">
        <v>579</v>
      </c>
      <c r="B34" s="461" t="s">
        <v>580</v>
      </c>
      <c r="C34" s="461"/>
      <c r="D34" s="461"/>
      <c r="E34" s="461"/>
      <c r="F34" s="461"/>
      <c r="G34" s="461"/>
      <c r="H34" s="198"/>
      <c r="I34" s="197">
        <v>0</v>
      </c>
      <c r="J34" s="190"/>
    </row>
    <row r="35" spans="1:14">
      <c r="A35" s="460" t="s">
        <v>581</v>
      </c>
      <c r="B35" s="460"/>
      <c r="C35" s="460"/>
      <c r="D35" s="460"/>
      <c r="E35" s="460"/>
      <c r="F35" s="460"/>
      <c r="G35" s="460"/>
      <c r="H35" s="460"/>
      <c r="I35" s="200">
        <f>SUM(I29:I34)</f>
        <v>3926.6499999999996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72" t="s">
        <v>582</v>
      </c>
      <c r="B37" s="472"/>
      <c r="C37" s="472"/>
      <c r="D37" s="472"/>
      <c r="E37" s="472"/>
      <c r="F37" s="472"/>
      <c r="G37" s="472"/>
      <c r="H37" s="472"/>
      <c r="I37" s="472"/>
      <c r="J37" s="202"/>
      <c r="L37" s="203"/>
    </row>
    <row r="38" spans="1:14">
      <c r="A38" s="460" t="s">
        <v>583</v>
      </c>
      <c r="B38" s="460"/>
      <c r="C38" s="460"/>
      <c r="D38" s="460"/>
      <c r="E38" s="460"/>
      <c r="F38" s="460"/>
      <c r="G38" s="460"/>
      <c r="H38" s="195" t="s">
        <v>569</v>
      </c>
      <c r="I38" s="195" t="s">
        <v>570</v>
      </c>
      <c r="J38" s="202"/>
    </row>
    <row r="39" spans="1:14">
      <c r="A39" s="195" t="s">
        <v>542</v>
      </c>
      <c r="B39" s="461" t="s">
        <v>584</v>
      </c>
      <c r="C39" s="461"/>
      <c r="D39" s="461"/>
      <c r="E39" s="461"/>
      <c r="F39" s="461"/>
      <c r="G39" s="461"/>
      <c r="H39" s="204">
        <f>1/12</f>
        <v>8.3333333333333329E-2</v>
      </c>
      <c r="I39" s="197">
        <f>TRUNC(I35*H39,2)</f>
        <v>327.22000000000003</v>
      </c>
      <c r="J39" s="490" t="s">
        <v>585</v>
      </c>
      <c r="K39" s="491"/>
      <c r="L39" s="491"/>
      <c r="M39" s="491"/>
      <c r="N39" s="492"/>
    </row>
    <row r="40" spans="1:14">
      <c r="A40" s="195" t="s">
        <v>544</v>
      </c>
      <c r="B40" s="461" t="s">
        <v>586</v>
      </c>
      <c r="C40" s="461"/>
      <c r="D40" s="461"/>
      <c r="E40" s="461"/>
      <c r="F40" s="461"/>
      <c r="G40" s="461"/>
      <c r="H40" s="205">
        <v>0.121</v>
      </c>
      <c r="I40" s="197">
        <f>TRUNC(I35*H40,2)</f>
        <v>475.12</v>
      </c>
      <c r="J40" s="490" t="s">
        <v>587</v>
      </c>
      <c r="K40" s="491"/>
      <c r="L40" s="491"/>
      <c r="M40" s="491"/>
      <c r="N40" s="492"/>
    </row>
    <row r="41" spans="1:14">
      <c r="A41" s="460" t="s">
        <v>588</v>
      </c>
      <c r="B41" s="460"/>
      <c r="C41" s="460"/>
      <c r="D41" s="460"/>
      <c r="E41" s="460"/>
      <c r="F41" s="460"/>
      <c r="G41" s="460"/>
      <c r="H41" s="206">
        <v>0.20430000000000001</v>
      </c>
      <c r="I41" s="200">
        <f>SUM(I39:I40)</f>
        <v>802.34</v>
      </c>
      <c r="J41" s="202"/>
    </row>
    <row r="42" spans="1:14">
      <c r="A42" s="496"/>
      <c r="B42" s="497"/>
      <c r="C42" s="497"/>
      <c r="D42" s="497"/>
      <c r="E42" s="497"/>
      <c r="F42" s="497"/>
      <c r="G42" s="497"/>
      <c r="H42" s="497"/>
      <c r="I42" s="497"/>
      <c r="J42" s="190"/>
    </row>
    <row r="43" spans="1:14">
      <c r="A43" s="460" t="s">
        <v>589</v>
      </c>
      <c r="B43" s="460"/>
      <c r="C43" s="460"/>
      <c r="D43" s="460"/>
      <c r="E43" s="460"/>
      <c r="F43" s="460"/>
      <c r="G43" s="460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61" t="s">
        <v>590</v>
      </c>
      <c r="C44" s="461"/>
      <c r="D44" s="461"/>
      <c r="E44" s="461"/>
      <c r="F44" s="461"/>
      <c r="G44" s="461"/>
      <c r="H44" s="204">
        <v>0.2</v>
      </c>
      <c r="I44" s="197">
        <f>TRUNC(($I$35+$I$41)*H44,2)</f>
        <v>945.79</v>
      </c>
      <c r="J44" s="490" t="s">
        <v>591</v>
      </c>
      <c r="K44" s="491"/>
      <c r="L44" s="491"/>
      <c r="M44" s="491"/>
      <c r="N44" s="492"/>
    </row>
    <row r="45" spans="1:14">
      <c r="A45" s="195" t="s">
        <v>544</v>
      </c>
      <c r="B45" s="461" t="s">
        <v>592</v>
      </c>
      <c r="C45" s="461"/>
      <c r="D45" s="461"/>
      <c r="E45" s="461"/>
      <c r="F45" s="461"/>
      <c r="G45" s="461"/>
      <c r="H45" s="204">
        <v>2.5000000000000001E-2</v>
      </c>
      <c r="I45" s="197">
        <f>TRUNC(($I$35+$I$41)*H45,2)</f>
        <v>118.22</v>
      </c>
      <c r="J45" s="490" t="s">
        <v>593</v>
      </c>
      <c r="K45" s="491"/>
      <c r="L45" s="491"/>
      <c r="M45" s="491"/>
      <c r="N45" s="492"/>
    </row>
    <row r="46" spans="1:14">
      <c r="A46" s="195" t="s">
        <v>547</v>
      </c>
      <c r="B46" s="461" t="s">
        <v>594</v>
      </c>
      <c r="C46" s="461"/>
      <c r="D46" s="461"/>
      <c r="E46" s="461"/>
      <c r="F46" s="461"/>
      <c r="G46" s="461"/>
      <c r="H46" s="204">
        <v>0.03</v>
      </c>
      <c r="I46" s="197">
        <f t="shared" ref="I46:I51" si="0">TRUNC(($I$35+$I$41)*H46,2)</f>
        <v>141.86000000000001</v>
      </c>
      <c r="J46" s="493" t="s">
        <v>595</v>
      </c>
      <c r="K46" s="494"/>
      <c r="L46" s="494"/>
      <c r="M46" s="494"/>
      <c r="N46" s="495"/>
    </row>
    <row r="47" spans="1:14">
      <c r="A47" s="195" t="s">
        <v>550</v>
      </c>
      <c r="B47" s="461" t="s">
        <v>596</v>
      </c>
      <c r="C47" s="461"/>
      <c r="D47" s="461"/>
      <c r="E47" s="461"/>
      <c r="F47" s="461"/>
      <c r="G47" s="461"/>
      <c r="H47" s="204">
        <v>1.4999999999999999E-2</v>
      </c>
      <c r="I47" s="197">
        <f t="shared" si="0"/>
        <v>70.930000000000007</v>
      </c>
      <c r="J47" s="490" t="s">
        <v>597</v>
      </c>
      <c r="K47" s="491"/>
      <c r="L47" s="491"/>
      <c r="M47" s="491"/>
      <c r="N47" s="492"/>
    </row>
    <row r="48" spans="1:14">
      <c r="A48" s="195" t="s">
        <v>577</v>
      </c>
      <c r="B48" s="461" t="s">
        <v>598</v>
      </c>
      <c r="C48" s="461"/>
      <c r="D48" s="461"/>
      <c r="E48" s="461"/>
      <c r="F48" s="461"/>
      <c r="G48" s="461"/>
      <c r="H48" s="204">
        <v>0.01</v>
      </c>
      <c r="I48" s="197">
        <f t="shared" si="0"/>
        <v>47.28</v>
      </c>
      <c r="J48" s="490" t="s">
        <v>599</v>
      </c>
      <c r="K48" s="491"/>
      <c r="L48" s="491"/>
      <c r="M48" s="491"/>
      <c r="N48" s="492"/>
    </row>
    <row r="49" spans="1:14">
      <c r="A49" s="195" t="s">
        <v>579</v>
      </c>
      <c r="B49" s="461" t="s">
        <v>600</v>
      </c>
      <c r="C49" s="461"/>
      <c r="D49" s="461"/>
      <c r="E49" s="461"/>
      <c r="F49" s="461"/>
      <c r="G49" s="461"/>
      <c r="H49" s="204">
        <v>6.0000000000000001E-3</v>
      </c>
      <c r="I49" s="197">
        <f t="shared" si="0"/>
        <v>28.37</v>
      </c>
      <c r="J49" s="490" t="s">
        <v>601</v>
      </c>
      <c r="K49" s="491"/>
      <c r="L49" s="491"/>
      <c r="M49" s="491"/>
      <c r="N49" s="492"/>
    </row>
    <row r="50" spans="1:14">
      <c r="A50" s="195" t="s">
        <v>602</v>
      </c>
      <c r="B50" s="461" t="s">
        <v>603</v>
      </c>
      <c r="C50" s="461"/>
      <c r="D50" s="461"/>
      <c r="E50" s="461"/>
      <c r="F50" s="461"/>
      <c r="G50" s="461"/>
      <c r="H50" s="204">
        <v>2E-3</v>
      </c>
      <c r="I50" s="197">
        <f t="shared" si="0"/>
        <v>9.4499999999999993</v>
      </c>
      <c r="J50" s="490" t="s">
        <v>604</v>
      </c>
      <c r="K50" s="491"/>
      <c r="L50" s="491"/>
      <c r="M50" s="491"/>
      <c r="N50" s="492"/>
    </row>
    <row r="51" spans="1:14">
      <c r="A51" s="195" t="s">
        <v>605</v>
      </c>
      <c r="B51" s="461" t="s">
        <v>606</v>
      </c>
      <c r="C51" s="461"/>
      <c r="D51" s="461"/>
      <c r="E51" s="461"/>
      <c r="F51" s="461"/>
      <c r="G51" s="461"/>
      <c r="H51" s="204">
        <v>0.08</v>
      </c>
      <c r="I51" s="197">
        <f t="shared" si="0"/>
        <v>378.31</v>
      </c>
      <c r="J51" s="490" t="s">
        <v>607</v>
      </c>
      <c r="K51" s="491"/>
      <c r="L51" s="491"/>
      <c r="M51" s="491"/>
      <c r="N51" s="492"/>
    </row>
    <row r="52" spans="1:14">
      <c r="A52" s="460" t="s">
        <v>608</v>
      </c>
      <c r="B52" s="460"/>
      <c r="C52" s="460"/>
      <c r="D52" s="460"/>
      <c r="E52" s="460"/>
      <c r="F52" s="460"/>
      <c r="G52" s="460"/>
      <c r="H52" s="206">
        <v>0.36800000000000005</v>
      </c>
      <c r="I52" s="200">
        <f>SUM(I44:I51)</f>
        <v>1740.2099999999998</v>
      </c>
      <c r="J52" s="202"/>
    </row>
    <row r="53" spans="1:14">
      <c r="A53" s="485"/>
      <c r="B53" s="485"/>
      <c r="C53" s="485"/>
      <c r="D53" s="485"/>
      <c r="E53" s="485"/>
      <c r="F53" s="485"/>
      <c r="G53" s="485"/>
      <c r="H53" s="485"/>
      <c r="I53" s="486"/>
      <c r="J53" s="202"/>
    </row>
    <row r="54" spans="1:14">
      <c r="A54" s="460" t="s">
        <v>609</v>
      </c>
      <c r="B54" s="460"/>
      <c r="C54" s="460"/>
      <c r="D54" s="460"/>
      <c r="E54" s="460"/>
      <c r="F54" s="460"/>
      <c r="G54" s="460"/>
      <c r="H54" s="206"/>
      <c r="I54" s="195" t="s">
        <v>570</v>
      </c>
      <c r="J54" s="202"/>
    </row>
    <row r="55" spans="1:14">
      <c r="A55" s="195" t="s">
        <v>542</v>
      </c>
      <c r="B55" s="473" t="s">
        <v>610</v>
      </c>
      <c r="C55" s="473"/>
      <c r="D55" s="473"/>
      <c r="E55" s="473"/>
      <c r="F55" s="473"/>
      <c r="G55" s="473"/>
      <c r="H55" s="193" t="s">
        <v>534</v>
      </c>
      <c r="I55" s="209">
        <f>TRUNC((5.5*2*15),2)</f>
        <v>165</v>
      </c>
      <c r="J55" s="487" t="s">
        <v>611</v>
      </c>
      <c r="K55" s="488"/>
      <c r="L55" s="488"/>
      <c r="M55" s="488"/>
      <c r="N55" s="489"/>
    </row>
    <row r="56" spans="1:14">
      <c r="A56" s="195" t="s">
        <v>544</v>
      </c>
      <c r="B56" s="473" t="s">
        <v>612</v>
      </c>
      <c r="C56" s="473"/>
      <c r="D56" s="473"/>
      <c r="E56" s="473"/>
      <c r="F56" s="473"/>
      <c r="G56" s="473"/>
      <c r="H56" s="193" t="s">
        <v>534</v>
      </c>
      <c r="I56" s="209">
        <f>TRUNC(((47.37-0.94)*15),2)</f>
        <v>696.45</v>
      </c>
      <c r="J56" s="479" t="s">
        <v>613</v>
      </c>
      <c r="K56" s="480"/>
      <c r="L56" s="480"/>
      <c r="M56" s="480"/>
      <c r="N56" s="481"/>
    </row>
    <row r="57" spans="1:14" ht="23.25" customHeight="1">
      <c r="A57" s="195" t="s">
        <v>547</v>
      </c>
      <c r="B57" s="473" t="s">
        <v>614</v>
      </c>
      <c r="C57" s="473"/>
      <c r="D57" s="473"/>
      <c r="E57" s="473"/>
      <c r="F57" s="473"/>
      <c r="G57" s="473"/>
      <c r="H57" s="193" t="s">
        <v>534</v>
      </c>
      <c r="I57" s="209">
        <v>0</v>
      </c>
      <c r="J57" s="479" t="s">
        <v>615</v>
      </c>
      <c r="K57" s="480"/>
      <c r="L57" s="480"/>
      <c r="M57" s="480"/>
      <c r="N57" s="481"/>
    </row>
    <row r="58" spans="1:14">
      <c r="A58" s="195" t="s">
        <v>550</v>
      </c>
      <c r="B58" s="473" t="s">
        <v>617</v>
      </c>
      <c r="C58" s="473"/>
      <c r="D58" s="473"/>
      <c r="E58" s="473"/>
      <c r="F58" s="473"/>
      <c r="G58" s="473"/>
      <c r="H58" s="193" t="s">
        <v>534</v>
      </c>
      <c r="I58" s="209">
        <f>'Seguro de Vida'!M9</f>
        <v>11.91</v>
      </c>
      <c r="J58" s="479" t="s">
        <v>618</v>
      </c>
      <c r="K58" s="480"/>
      <c r="L58" s="480"/>
      <c r="M58" s="480"/>
      <c r="N58" s="481"/>
    </row>
    <row r="59" spans="1:14">
      <c r="A59" s="195" t="s">
        <v>577</v>
      </c>
      <c r="B59" s="482" t="s">
        <v>619</v>
      </c>
      <c r="C59" s="483"/>
      <c r="D59" s="483"/>
      <c r="E59" s="483"/>
      <c r="F59" s="483"/>
      <c r="G59" s="484"/>
      <c r="H59" s="193" t="s">
        <v>534</v>
      </c>
      <c r="I59" s="209">
        <v>0</v>
      </c>
      <c r="J59" s="479" t="s">
        <v>620</v>
      </c>
      <c r="K59" s="480"/>
      <c r="L59" s="480"/>
      <c r="M59" s="480"/>
      <c r="N59" s="481"/>
    </row>
    <row r="60" spans="1:14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14">
      <c r="A61" s="460" t="s">
        <v>622</v>
      </c>
      <c r="B61" s="460"/>
      <c r="C61" s="460"/>
      <c r="D61" s="460"/>
      <c r="E61" s="460"/>
      <c r="F61" s="460"/>
      <c r="G61" s="460"/>
      <c r="H61" s="460"/>
      <c r="I61" s="200">
        <f>SUM(I55:I60)</f>
        <v>994.06000000000006</v>
      </c>
      <c r="J61" s="202"/>
    </row>
    <row r="62" spans="1:14">
      <c r="A62" s="486"/>
      <c r="B62" s="475"/>
      <c r="C62" s="475"/>
      <c r="D62" s="475"/>
      <c r="E62" s="475"/>
      <c r="F62" s="475"/>
      <c r="G62" s="475"/>
      <c r="H62" s="475"/>
      <c r="I62" s="475"/>
      <c r="J62" s="202"/>
    </row>
    <row r="63" spans="1:14">
      <c r="A63" s="467" t="s">
        <v>623</v>
      </c>
      <c r="B63" s="467"/>
      <c r="C63" s="467"/>
      <c r="D63" s="467"/>
      <c r="E63" s="467"/>
      <c r="F63" s="467"/>
      <c r="G63" s="467"/>
      <c r="H63" s="467"/>
      <c r="I63" s="467"/>
      <c r="J63" s="202"/>
    </row>
    <row r="64" spans="1:14">
      <c r="A64" s="460" t="s">
        <v>624</v>
      </c>
      <c r="B64" s="460"/>
      <c r="C64" s="460"/>
      <c r="D64" s="460"/>
      <c r="E64" s="460"/>
      <c r="F64" s="460"/>
      <c r="G64" s="460"/>
      <c r="H64" s="460"/>
      <c r="I64" s="195" t="s">
        <v>570</v>
      </c>
      <c r="J64" s="202"/>
    </row>
    <row r="65" spans="1:10">
      <c r="A65" s="195" t="s">
        <v>625</v>
      </c>
      <c r="B65" s="461" t="s">
        <v>626</v>
      </c>
      <c r="C65" s="461"/>
      <c r="D65" s="461"/>
      <c r="E65" s="461"/>
      <c r="F65" s="461"/>
      <c r="G65" s="461"/>
      <c r="H65" s="461"/>
      <c r="I65" s="197">
        <f>I41</f>
        <v>802.34</v>
      </c>
      <c r="J65" s="202"/>
    </row>
    <row r="66" spans="1:10">
      <c r="A66" s="195" t="s">
        <v>627</v>
      </c>
      <c r="B66" s="461" t="s">
        <v>628</v>
      </c>
      <c r="C66" s="461"/>
      <c r="D66" s="461"/>
      <c r="E66" s="461"/>
      <c r="F66" s="461"/>
      <c r="G66" s="461"/>
      <c r="H66" s="461"/>
      <c r="I66" s="197">
        <f>I52</f>
        <v>1740.2099999999998</v>
      </c>
      <c r="J66" s="202"/>
    </row>
    <row r="67" spans="1:10">
      <c r="A67" s="195" t="s">
        <v>629</v>
      </c>
      <c r="B67" s="461" t="s">
        <v>630</v>
      </c>
      <c r="C67" s="461"/>
      <c r="D67" s="461"/>
      <c r="E67" s="461"/>
      <c r="F67" s="461"/>
      <c r="G67" s="461"/>
      <c r="H67" s="461"/>
      <c r="I67" s="197">
        <f>I61</f>
        <v>994.06000000000006</v>
      </c>
      <c r="J67" s="202"/>
    </row>
    <row r="68" spans="1:10">
      <c r="A68" s="460" t="s">
        <v>631</v>
      </c>
      <c r="B68" s="460"/>
      <c r="C68" s="460"/>
      <c r="D68" s="460"/>
      <c r="E68" s="460"/>
      <c r="F68" s="460"/>
      <c r="G68" s="460"/>
      <c r="H68" s="460"/>
      <c r="I68" s="200">
        <f>SUM(I65:I67)</f>
        <v>3536.6099999999997</v>
      </c>
      <c r="J68" s="202"/>
    </row>
    <row r="69" spans="1:10">
      <c r="A69" s="470"/>
      <c r="B69" s="471"/>
      <c r="C69" s="471"/>
      <c r="D69" s="471"/>
      <c r="E69" s="471"/>
      <c r="F69" s="471"/>
      <c r="G69" s="471"/>
      <c r="H69" s="471"/>
      <c r="I69" s="471"/>
      <c r="J69" s="202"/>
    </row>
    <row r="70" spans="1:10">
      <c r="A70" s="472" t="s">
        <v>632</v>
      </c>
      <c r="B70" s="472"/>
      <c r="C70" s="472"/>
      <c r="D70" s="472"/>
      <c r="E70" s="472"/>
      <c r="F70" s="472"/>
      <c r="G70" s="472"/>
      <c r="H70" s="472"/>
      <c r="I70" s="472"/>
      <c r="J70" s="202"/>
    </row>
    <row r="71" spans="1:10">
      <c r="A71" s="195">
        <v>3</v>
      </c>
      <c r="B71" s="460" t="s">
        <v>633</v>
      </c>
      <c r="C71" s="460"/>
      <c r="D71" s="460"/>
      <c r="E71" s="460"/>
      <c r="F71" s="460"/>
      <c r="G71" s="460"/>
      <c r="H71" s="195" t="s">
        <v>569</v>
      </c>
      <c r="I71" s="195" t="s">
        <v>570</v>
      </c>
      <c r="J71" s="202"/>
    </row>
    <row r="72" spans="1:10">
      <c r="A72" s="195" t="s">
        <v>542</v>
      </c>
      <c r="B72" s="461" t="s">
        <v>634</v>
      </c>
      <c r="C72" s="461"/>
      <c r="D72" s="461"/>
      <c r="E72" s="461"/>
      <c r="F72" s="461"/>
      <c r="G72" s="461"/>
      <c r="H72" s="204">
        <f>(1/12)*5.5%</f>
        <v>4.5833333333333334E-3</v>
      </c>
      <c r="I72" s="197">
        <f>TRUNC(H72*$I$35,2)</f>
        <v>17.989999999999998</v>
      </c>
      <c r="J72" s="202"/>
    </row>
    <row r="73" spans="1:10">
      <c r="A73" s="195" t="s">
        <v>544</v>
      </c>
      <c r="B73" s="461" t="s">
        <v>635</v>
      </c>
      <c r="C73" s="461"/>
      <c r="D73" s="461"/>
      <c r="E73" s="461"/>
      <c r="F73" s="461"/>
      <c r="G73" s="461"/>
      <c r="H73" s="204">
        <f>H51*H72</f>
        <v>3.6666666666666667E-4</v>
      </c>
      <c r="I73" s="197">
        <f>TRUNC(H73*$I$35,2)</f>
        <v>1.43</v>
      </c>
      <c r="J73" s="202"/>
    </row>
    <row r="74" spans="1:10">
      <c r="A74" s="195" t="s">
        <v>547</v>
      </c>
      <c r="B74" s="461" t="s">
        <v>636</v>
      </c>
      <c r="C74" s="461"/>
      <c r="D74" s="461"/>
      <c r="E74" s="461"/>
      <c r="F74" s="461"/>
      <c r="G74" s="461"/>
      <c r="H74" s="204">
        <f>((7/30)/12)</f>
        <v>1.9444444444444445E-2</v>
      </c>
      <c r="I74" s="197">
        <f>TRUNC(H74*$I$35,2)</f>
        <v>76.349999999999994</v>
      </c>
      <c r="J74" s="202"/>
    </row>
    <row r="75" spans="1:10">
      <c r="A75" s="195" t="s">
        <v>550</v>
      </c>
      <c r="B75" s="461" t="s">
        <v>637</v>
      </c>
      <c r="C75" s="461"/>
      <c r="D75" s="461"/>
      <c r="E75" s="461"/>
      <c r="F75" s="461"/>
      <c r="G75" s="461"/>
      <c r="H75" s="205">
        <f>H52*H74</f>
        <v>7.1555555555555565E-3</v>
      </c>
      <c r="I75" s="197">
        <f>TRUNC(H75*$I$35,2)</f>
        <v>28.09</v>
      </c>
      <c r="J75" s="202"/>
    </row>
    <row r="76" spans="1:10" ht="24.75" customHeight="1">
      <c r="A76" s="195" t="s">
        <v>577</v>
      </c>
      <c r="B76" s="425" t="s">
        <v>638</v>
      </c>
      <c r="C76" s="425"/>
      <c r="D76" s="425"/>
      <c r="E76" s="425"/>
      <c r="F76" s="425"/>
      <c r="G76" s="425"/>
      <c r="H76" s="204">
        <v>0.04</v>
      </c>
      <c r="I76" s="197">
        <f>TRUNC(H76*$I$35,2)</f>
        <v>157.06</v>
      </c>
      <c r="J76" s="202"/>
    </row>
    <row r="77" spans="1:10">
      <c r="A77" s="460" t="s">
        <v>639</v>
      </c>
      <c r="B77" s="460"/>
      <c r="C77" s="460"/>
      <c r="D77" s="460"/>
      <c r="E77" s="460"/>
      <c r="F77" s="460"/>
      <c r="G77" s="460"/>
      <c r="H77" s="206">
        <v>8.1000000000000003E-2</v>
      </c>
      <c r="I77" s="200">
        <f>SUM(I72:I76)</f>
        <v>280.92</v>
      </c>
      <c r="J77" s="202"/>
    </row>
    <row r="78" spans="1:10">
      <c r="A78" s="443"/>
      <c r="B78" s="478"/>
      <c r="C78" s="478"/>
      <c r="D78" s="478"/>
      <c r="E78" s="478"/>
      <c r="F78" s="478"/>
      <c r="G78" s="478"/>
      <c r="H78" s="478"/>
      <c r="I78" s="478"/>
      <c r="J78" s="202"/>
    </row>
    <row r="79" spans="1:10">
      <c r="A79" s="472" t="s">
        <v>640</v>
      </c>
      <c r="B79" s="472"/>
      <c r="C79" s="472"/>
      <c r="D79" s="472"/>
      <c r="E79" s="472"/>
      <c r="F79" s="472"/>
      <c r="G79" s="472"/>
      <c r="H79" s="472"/>
      <c r="I79" s="472"/>
      <c r="J79" s="202"/>
    </row>
    <row r="80" spans="1:10">
      <c r="A80" s="460" t="s">
        <v>641</v>
      </c>
      <c r="B80" s="460"/>
      <c r="C80" s="460"/>
      <c r="D80" s="460"/>
      <c r="E80" s="460"/>
      <c r="F80" s="460"/>
      <c r="G80" s="460"/>
      <c r="H80" s="195" t="s">
        <v>569</v>
      </c>
      <c r="I80" s="195" t="s">
        <v>570</v>
      </c>
      <c r="J80" s="202"/>
    </row>
    <row r="81" spans="1:10">
      <c r="A81" s="195" t="s">
        <v>542</v>
      </c>
      <c r="B81" s="461" t="s">
        <v>642</v>
      </c>
      <c r="C81" s="461"/>
      <c r="D81" s="461"/>
      <c r="E81" s="461"/>
      <c r="F81" s="461"/>
      <c r="G81" s="461"/>
      <c r="H81" s="204">
        <f>((1/12)+(1/12)+((1/12)/3))/12</f>
        <v>1.6203703703703703E-2</v>
      </c>
      <c r="I81" s="197">
        <f>TRUNC($I$35*H81,2)</f>
        <v>63.62</v>
      </c>
      <c r="J81" s="202"/>
    </row>
    <row r="82" spans="1:10">
      <c r="A82" s="195" t="s">
        <v>544</v>
      </c>
      <c r="B82" s="461" t="s">
        <v>643</v>
      </c>
      <c r="C82" s="461"/>
      <c r="D82" s="461"/>
      <c r="E82" s="461"/>
      <c r="F82" s="461"/>
      <c r="G82" s="461"/>
      <c r="H82" s="204">
        <f>(1/30)/12</f>
        <v>2.7777777777777779E-3</v>
      </c>
      <c r="I82" s="197">
        <f>TRUNC($I$35*H82,2)</f>
        <v>10.9</v>
      </c>
      <c r="J82" s="202"/>
    </row>
    <row r="83" spans="1:10">
      <c r="A83" s="195" t="s">
        <v>547</v>
      </c>
      <c r="B83" s="461" t="s">
        <v>644</v>
      </c>
      <c r="C83" s="461"/>
      <c r="D83" s="461"/>
      <c r="E83" s="461"/>
      <c r="F83" s="461"/>
      <c r="G83" s="461"/>
      <c r="H83" s="204">
        <f>((5/30)/12)*1.5%</f>
        <v>2.0833333333333332E-4</v>
      </c>
      <c r="I83" s="197">
        <f>TRUNC($I$35*H83,2)</f>
        <v>0.81</v>
      </c>
      <c r="J83" s="202"/>
    </row>
    <row r="84" spans="1:10">
      <c r="A84" s="195" t="s">
        <v>550</v>
      </c>
      <c r="B84" s="461" t="s">
        <v>645</v>
      </c>
      <c r="C84" s="461"/>
      <c r="D84" s="461"/>
      <c r="E84" s="461"/>
      <c r="F84" s="461"/>
      <c r="G84" s="461"/>
      <c r="H84" s="204">
        <f>((15/30)/12)*8%</f>
        <v>3.3333333333333331E-3</v>
      </c>
      <c r="I84" s="197">
        <f>TRUNC($I$35*H84,2)</f>
        <v>13.08</v>
      </c>
      <c r="J84" s="202"/>
    </row>
    <row r="85" spans="1:10">
      <c r="A85" s="195" t="s">
        <v>577</v>
      </c>
      <c r="B85" s="461" t="s">
        <v>646</v>
      </c>
      <c r="C85" s="461"/>
      <c r="D85" s="461"/>
      <c r="E85" s="461"/>
      <c r="F85" s="461"/>
      <c r="G85" s="461"/>
      <c r="H85" s="204">
        <f>(((4*8.33%)+(4*2.78%))/12)*2%</f>
        <v>7.4066666666666671E-4</v>
      </c>
      <c r="I85" s="197">
        <f>TRUNC($I$35*H85,2)</f>
        <v>2.9</v>
      </c>
      <c r="J85" s="202"/>
    </row>
    <row r="86" spans="1:10">
      <c r="A86" s="195" t="s">
        <v>579</v>
      </c>
      <c r="B86" s="461" t="s">
        <v>647</v>
      </c>
      <c r="C86" s="461"/>
      <c r="D86" s="461"/>
      <c r="E86" s="461"/>
      <c r="F86" s="461"/>
      <c r="G86" s="461"/>
      <c r="H86" s="204">
        <v>0</v>
      </c>
      <c r="I86" s="197">
        <f>TRUNC(($I$35+$I$68+$I$77)*H86,2)</f>
        <v>0</v>
      </c>
      <c r="J86" s="202"/>
    </row>
    <row r="87" spans="1:10">
      <c r="A87" s="460" t="s">
        <v>648</v>
      </c>
      <c r="B87" s="460"/>
      <c r="C87" s="460"/>
      <c r="D87" s="460"/>
      <c r="E87" s="460"/>
      <c r="F87" s="460"/>
      <c r="G87" s="460"/>
      <c r="H87" s="206">
        <f>SUM(H81:H86)</f>
        <v>2.3263814814814817E-2</v>
      </c>
      <c r="I87" s="200">
        <f>SUM(I81:I86)</f>
        <v>91.31</v>
      </c>
      <c r="J87" s="202"/>
    </row>
    <row r="88" spans="1:10">
      <c r="A88" s="474"/>
      <c r="B88" s="475"/>
      <c r="C88" s="475"/>
      <c r="D88" s="475"/>
      <c r="E88" s="475"/>
      <c r="F88" s="475"/>
      <c r="G88" s="475"/>
      <c r="H88" s="475"/>
      <c r="I88" s="475"/>
      <c r="J88" s="202"/>
    </row>
    <row r="89" spans="1:10">
      <c r="A89" s="460" t="s">
        <v>649</v>
      </c>
      <c r="B89" s="460"/>
      <c r="C89" s="460"/>
      <c r="D89" s="460"/>
      <c r="E89" s="460"/>
      <c r="F89" s="460"/>
      <c r="G89" s="460"/>
      <c r="H89" s="195" t="s">
        <v>569</v>
      </c>
      <c r="I89" s="195" t="s">
        <v>570</v>
      </c>
      <c r="J89" s="202"/>
    </row>
    <row r="90" spans="1:10">
      <c r="A90" s="195" t="s">
        <v>542</v>
      </c>
      <c r="B90" s="425" t="s">
        <v>650</v>
      </c>
      <c r="C90" s="461"/>
      <c r="D90" s="461"/>
      <c r="E90" s="461"/>
      <c r="F90" s="461"/>
      <c r="G90" s="461"/>
      <c r="H90" s="204">
        <v>0</v>
      </c>
      <c r="I90" s="197">
        <v>0</v>
      </c>
      <c r="J90" s="202"/>
    </row>
    <row r="91" spans="1:10">
      <c r="A91" s="460" t="s">
        <v>651</v>
      </c>
      <c r="B91" s="460"/>
      <c r="C91" s="460"/>
      <c r="D91" s="460"/>
      <c r="E91" s="460"/>
      <c r="F91" s="460"/>
      <c r="G91" s="460"/>
      <c r="H91" s="206">
        <v>0</v>
      </c>
      <c r="I91" s="200">
        <v>0</v>
      </c>
      <c r="J91" s="202"/>
    </row>
    <row r="92" spans="1:10">
      <c r="A92" s="476"/>
      <c r="B92" s="477"/>
      <c r="C92" s="477"/>
      <c r="D92" s="477"/>
      <c r="E92" s="477"/>
      <c r="F92" s="477"/>
      <c r="G92" s="477"/>
      <c r="H92" s="477"/>
      <c r="I92" s="477"/>
      <c r="J92" s="202"/>
    </row>
    <row r="93" spans="1:10">
      <c r="A93" s="467" t="s">
        <v>652</v>
      </c>
      <c r="B93" s="467"/>
      <c r="C93" s="467"/>
      <c r="D93" s="467"/>
      <c r="E93" s="467"/>
      <c r="F93" s="467"/>
      <c r="G93" s="467"/>
      <c r="H93" s="467"/>
      <c r="I93" s="467"/>
      <c r="J93" s="202"/>
    </row>
    <row r="94" spans="1:10">
      <c r="A94" s="460" t="s">
        <v>653</v>
      </c>
      <c r="B94" s="460"/>
      <c r="C94" s="460"/>
      <c r="D94" s="460"/>
      <c r="E94" s="460"/>
      <c r="F94" s="460"/>
      <c r="G94" s="460"/>
      <c r="H94" s="460"/>
      <c r="I94" s="195" t="s">
        <v>570</v>
      </c>
      <c r="J94" s="202"/>
    </row>
    <row r="95" spans="1:10">
      <c r="A95" s="195" t="s">
        <v>654</v>
      </c>
      <c r="B95" s="461" t="s">
        <v>655</v>
      </c>
      <c r="C95" s="461"/>
      <c r="D95" s="461"/>
      <c r="E95" s="461"/>
      <c r="F95" s="461"/>
      <c r="G95" s="461"/>
      <c r="H95" s="461"/>
      <c r="I95" s="197">
        <f>I87</f>
        <v>91.31</v>
      </c>
      <c r="J95" s="202"/>
    </row>
    <row r="96" spans="1:10">
      <c r="A96" s="195" t="s">
        <v>656</v>
      </c>
      <c r="B96" s="461" t="s">
        <v>657</v>
      </c>
      <c r="C96" s="461"/>
      <c r="D96" s="461"/>
      <c r="E96" s="461"/>
      <c r="F96" s="461"/>
      <c r="G96" s="461"/>
      <c r="H96" s="461"/>
      <c r="I96" s="197">
        <f>I91</f>
        <v>0</v>
      </c>
      <c r="J96" s="202"/>
    </row>
    <row r="97" spans="1:10">
      <c r="A97" s="460" t="s">
        <v>658</v>
      </c>
      <c r="B97" s="460"/>
      <c r="C97" s="460"/>
      <c r="D97" s="460"/>
      <c r="E97" s="460"/>
      <c r="F97" s="460"/>
      <c r="G97" s="460"/>
      <c r="H97" s="460"/>
      <c r="I97" s="200">
        <f>SUM(I95:I96)</f>
        <v>91.31</v>
      </c>
      <c r="J97" s="202"/>
    </row>
    <row r="98" spans="1:10">
      <c r="A98" s="470"/>
      <c r="B98" s="471"/>
      <c r="C98" s="471"/>
      <c r="D98" s="471"/>
      <c r="E98" s="471"/>
      <c r="F98" s="471"/>
      <c r="G98" s="471"/>
      <c r="H98" s="471"/>
      <c r="I98" s="471"/>
      <c r="J98" s="202"/>
    </row>
    <row r="99" spans="1:10">
      <c r="A99" s="472" t="s">
        <v>659</v>
      </c>
      <c r="B99" s="472"/>
      <c r="C99" s="472"/>
      <c r="D99" s="472"/>
      <c r="E99" s="472"/>
      <c r="F99" s="472"/>
      <c r="G99" s="472"/>
      <c r="H99" s="472"/>
      <c r="I99" s="472"/>
      <c r="J99" s="202"/>
    </row>
    <row r="100" spans="1:10">
      <c r="A100" s="195">
        <v>5</v>
      </c>
      <c r="B100" s="460" t="s">
        <v>660</v>
      </c>
      <c r="C100" s="460"/>
      <c r="D100" s="460"/>
      <c r="E100" s="460"/>
      <c r="F100" s="460"/>
      <c r="G100" s="460"/>
      <c r="H100" s="195"/>
      <c r="I100" s="195" t="s">
        <v>570</v>
      </c>
      <c r="J100" s="202"/>
    </row>
    <row r="101" spans="1:10">
      <c r="A101" s="195" t="s">
        <v>542</v>
      </c>
      <c r="B101" s="473" t="s">
        <v>661</v>
      </c>
      <c r="C101" s="473"/>
      <c r="D101" s="473"/>
      <c r="E101" s="473"/>
      <c r="F101" s="473"/>
      <c r="G101" s="473"/>
      <c r="H101" s="193" t="s">
        <v>534</v>
      </c>
      <c r="I101" s="197">
        <f>Resumo!E15</f>
        <v>163.70000000000002</v>
      </c>
      <c r="J101" s="202"/>
    </row>
    <row r="102" spans="1:10">
      <c r="A102" s="195" t="s">
        <v>544</v>
      </c>
      <c r="B102" s="473" t="s">
        <v>662</v>
      </c>
      <c r="C102" s="473"/>
      <c r="D102" s="473"/>
      <c r="E102" s="473"/>
      <c r="F102" s="473"/>
      <c r="G102" s="473"/>
      <c r="H102" s="193" t="s">
        <v>534</v>
      </c>
      <c r="I102" s="197">
        <f>Resumo!F71</f>
        <v>11.918499999999998</v>
      </c>
      <c r="J102" s="202"/>
    </row>
    <row r="103" spans="1:10">
      <c r="A103" s="208" t="s">
        <v>547</v>
      </c>
      <c r="B103" s="473" t="s">
        <v>663</v>
      </c>
      <c r="C103" s="473"/>
      <c r="D103" s="473"/>
      <c r="E103" s="473"/>
      <c r="F103" s="473"/>
      <c r="G103" s="473"/>
      <c r="H103" s="193" t="s">
        <v>534</v>
      </c>
      <c r="I103" s="197">
        <f>Resumo!F43</f>
        <v>10.374354166666667</v>
      </c>
      <c r="J103" s="202"/>
    </row>
    <row r="104" spans="1:10">
      <c r="A104" s="208" t="s">
        <v>550</v>
      </c>
      <c r="B104" s="473" t="s">
        <v>580</v>
      </c>
      <c r="C104" s="473"/>
      <c r="D104" s="473"/>
      <c r="E104" s="473"/>
      <c r="F104" s="473"/>
      <c r="G104" s="473"/>
      <c r="H104" s="193" t="s">
        <v>534</v>
      </c>
      <c r="I104" s="197">
        <v>0</v>
      </c>
      <c r="J104" s="202"/>
    </row>
    <row r="105" spans="1:10">
      <c r="A105" s="460" t="s">
        <v>664</v>
      </c>
      <c r="B105" s="460"/>
      <c r="C105" s="460"/>
      <c r="D105" s="460"/>
      <c r="E105" s="460"/>
      <c r="F105" s="460"/>
      <c r="G105" s="460"/>
      <c r="H105" s="206" t="s">
        <v>534</v>
      </c>
      <c r="I105" s="200">
        <f>SUM(I101:I104)</f>
        <v>185.99285416666669</v>
      </c>
      <c r="J105" s="202"/>
    </row>
    <row r="106" spans="1:10">
      <c r="A106" s="470"/>
      <c r="B106" s="471"/>
      <c r="C106" s="471"/>
      <c r="D106" s="471"/>
      <c r="E106" s="471"/>
      <c r="F106" s="471"/>
      <c r="G106" s="471"/>
      <c r="H106" s="471"/>
      <c r="I106" s="471"/>
      <c r="J106" s="202"/>
    </row>
    <row r="107" spans="1:10">
      <c r="A107" s="472" t="s">
        <v>665</v>
      </c>
      <c r="B107" s="472"/>
      <c r="C107" s="472"/>
      <c r="D107" s="472"/>
      <c r="E107" s="472"/>
      <c r="F107" s="472"/>
      <c r="G107" s="472"/>
      <c r="H107" s="472"/>
      <c r="I107" s="472"/>
      <c r="J107" s="202"/>
    </row>
    <row r="108" spans="1:10">
      <c r="A108" s="195">
        <v>6</v>
      </c>
      <c r="B108" s="460" t="s">
        <v>666</v>
      </c>
      <c r="C108" s="460"/>
      <c r="D108" s="460"/>
      <c r="E108" s="460"/>
      <c r="F108" s="460"/>
      <c r="G108" s="460"/>
      <c r="H108" s="195" t="s">
        <v>569</v>
      </c>
      <c r="I108" s="195" t="s">
        <v>570</v>
      </c>
      <c r="J108" s="202"/>
    </row>
    <row r="109" spans="1:10">
      <c r="A109" s="195" t="s">
        <v>542</v>
      </c>
      <c r="B109" s="461" t="s">
        <v>667</v>
      </c>
      <c r="C109" s="461"/>
      <c r="D109" s="461"/>
      <c r="E109" s="461"/>
      <c r="F109" s="461"/>
      <c r="G109" s="461"/>
      <c r="H109" s="216">
        <v>0.06</v>
      </c>
      <c r="I109" s="197">
        <f>TRUNC((($I$35+$I$68+$I$77+$I$97+$I$105)*H109),2)</f>
        <v>481.28</v>
      </c>
      <c r="J109" s="202"/>
    </row>
    <row r="110" spans="1:10">
      <c r="A110" s="195" t="s">
        <v>544</v>
      </c>
      <c r="B110" s="461" t="s">
        <v>668</v>
      </c>
      <c r="C110" s="461"/>
      <c r="D110" s="461"/>
      <c r="E110" s="461"/>
      <c r="F110" s="461"/>
      <c r="G110" s="461"/>
      <c r="H110" s="216">
        <v>6.7900000000000002E-2</v>
      </c>
      <c r="I110" s="197">
        <f>TRUNC((($I$35+$I$68+$I$77+$I$97+$I$105+I109)*H110),2)</f>
        <v>577.33000000000004</v>
      </c>
      <c r="J110" s="202"/>
    </row>
    <row r="111" spans="1:10">
      <c r="A111" s="195" t="s">
        <v>547</v>
      </c>
      <c r="B111" s="468" t="s">
        <v>669</v>
      </c>
      <c r="C111" s="468"/>
      <c r="D111" s="468"/>
      <c r="E111" s="468"/>
      <c r="F111" s="468"/>
      <c r="G111" s="468"/>
      <c r="H111" s="198"/>
      <c r="I111" s="217"/>
      <c r="J111" s="202"/>
    </row>
    <row r="112" spans="1:10">
      <c r="A112" s="195" t="s">
        <v>670</v>
      </c>
      <c r="B112" s="461" t="s">
        <v>671</v>
      </c>
      <c r="C112" s="461"/>
      <c r="D112" s="461"/>
      <c r="E112" s="461"/>
      <c r="F112" s="461"/>
      <c r="G112" s="461"/>
      <c r="H112" s="218">
        <v>6.4999999999999997E-3</v>
      </c>
      <c r="I112" s="197">
        <f>TRUNC(H112*I122,2)</f>
        <v>64.599999999999994</v>
      </c>
      <c r="J112" s="202"/>
    </row>
    <row r="113" spans="1:10">
      <c r="A113" s="195" t="s">
        <v>672</v>
      </c>
      <c r="B113" s="461" t="s">
        <v>673</v>
      </c>
      <c r="C113" s="461"/>
      <c r="D113" s="461"/>
      <c r="E113" s="461"/>
      <c r="F113" s="461"/>
      <c r="G113" s="461"/>
      <c r="H113" s="218">
        <v>0.03</v>
      </c>
      <c r="I113" s="197">
        <f>TRUNC(H113*I122,2)</f>
        <v>298.19</v>
      </c>
      <c r="J113" s="202"/>
    </row>
    <row r="114" spans="1:10">
      <c r="A114" s="195" t="s">
        <v>674</v>
      </c>
      <c r="B114" s="461" t="s">
        <v>675</v>
      </c>
      <c r="C114" s="461"/>
      <c r="D114" s="461"/>
      <c r="E114" s="461"/>
      <c r="F114" s="461"/>
      <c r="G114" s="461"/>
      <c r="H114" s="218">
        <v>0.05</v>
      </c>
      <c r="I114" s="197">
        <f>TRUNC(H114*I122,2)</f>
        <v>496.99</v>
      </c>
      <c r="J114" s="219"/>
    </row>
    <row r="115" spans="1:10">
      <c r="A115" s="460" t="s">
        <v>676</v>
      </c>
      <c r="B115" s="460"/>
      <c r="C115" s="460"/>
      <c r="D115" s="460"/>
      <c r="E115" s="460"/>
      <c r="F115" s="460"/>
      <c r="G115" s="460"/>
      <c r="H115" s="218">
        <f>SUM(H109:H114)</f>
        <v>0.21440000000000003</v>
      </c>
      <c r="I115" s="200">
        <f>SUM(I109:I114)</f>
        <v>1918.39</v>
      </c>
      <c r="J115" s="202"/>
    </row>
    <row r="116" spans="1:10">
      <c r="A116" s="191"/>
      <c r="B116" s="469"/>
      <c r="C116" s="469"/>
      <c r="D116" s="469"/>
      <c r="E116" s="469"/>
      <c r="F116" s="469"/>
      <c r="G116" s="469"/>
      <c r="H116" s="469"/>
      <c r="I116" s="469"/>
      <c r="J116" s="190"/>
    </row>
    <row r="117" spans="1:10">
      <c r="A117" s="220" t="s">
        <v>677</v>
      </c>
      <c r="B117" s="464" t="s">
        <v>678</v>
      </c>
      <c r="C117" s="464"/>
      <c r="D117" s="464"/>
      <c r="E117" s="464"/>
      <c r="F117" s="464"/>
      <c r="G117" s="464"/>
      <c r="H117" s="221">
        <f>H112+H113+H114</f>
        <v>8.6499999999999994E-2</v>
      </c>
      <c r="I117" s="222"/>
      <c r="J117" s="190"/>
    </row>
    <row r="118" spans="1:10">
      <c r="A118" s="223"/>
      <c r="B118" s="465">
        <v>100</v>
      </c>
      <c r="C118" s="465"/>
      <c r="D118" s="465"/>
      <c r="E118" s="465"/>
      <c r="F118" s="465"/>
      <c r="G118" s="465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5" t="s">
        <v>719</v>
      </c>
      <c r="C120" s="465"/>
      <c r="D120" s="465"/>
      <c r="E120" s="465"/>
      <c r="F120" s="465"/>
      <c r="G120" s="465"/>
      <c r="H120" s="225"/>
      <c r="I120" s="226">
        <f>I35+I68+I77+I97+I105+I109+I110</f>
        <v>9080.0928541666672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5" t="s">
        <v>682</v>
      </c>
      <c r="C122" s="465"/>
      <c r="D122" s="465"/>
      <c r="E122" s="465"/>
      <c r="F122" s="465"/>
      <c r="G122" s="465"/>
      <c r="H122" s="225"/>
      <c r="I122" s="226">
        <f>TRUNC(I120/(1-H117),2)</f>
        <v>9939.89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66" t="s">
        <v>683</v>
      </c>
      <c r="C124" s="466"/>
      <c r="D124" s="466"/>
      <c r="E124" s="466"/>
      <c r="F124" s="466"/>
      <c r="G124" s="466"/>
      <c r="H124" s="229"/>
      <c r="I124" s="230">
        <f>I122-I120</f>
        <v>859.79714583333225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67" t="s">
        <v>684</v>
      </c>
      <c r="B126" s="467"/>
      <c r="C126" s="467"/>
      <c r="D126" s="467"/>
      <c r="E126" s="467"/>
      <c r="F126" s="467"/>
      <c r="G126" s="467"/>
      <c r="H126" s="467"/>
      <c r="I126" s="467"/>
      <c r="J126" s="190"/>
    </row>
    <row r="127" spans="1:10">
      <c r="A127" s="460" t="s">
        <v>685</v>
      </c>
      <c r="B127" s="460"/>
      <c r="C127" s="460"/>
      <c r="D127" s="460"/>
      <c r="E127" s="460"/>
      <c r="F127" s="460"/>
      <c r="G127" s="460"/>
      <c r="H127" s="460"/>
      <c r="I127" s="195" t="s">
        <v>570</v>
      </c>
      <c r="J127" s="190"/>
    </row>
    <row r="128" spans="1:10">
      <c r="A128" s="193" t="s">
        <v>542</v>
      </c>
      <c r="B128" s="461" t="s">
        <v>567</v>
      </c>
      <c r="C128" s="461"/>
      <c r="D128" s="461"/>
      <c r="E128" s="461"/>
      <c r="F128" s="461"/>
      <c r="G128" s="461"/>
      <c r="H128" s="461"/>
      <c r="I128" s="197">
        <f>I35</f>
        <v>3926.6499999999996</v>
      </c>
    </row>
    <row r="129" spans="1:9">
      <c r="A129" s="193" t="s">
        <v>544</v>
      </c>
      <c r="B129" s="461" t="s">
        <v>582</v>
      </c>
      <c r="C129" s="461"/>
      <c r="D129" s="461"/>
      <c r="E129" s="461"/>
      <c r="F129" s="461"/>
      <c r="G129" s="461"/>
      <c r="H129" s="461"/>
      <c r="I129" s="197">
        <f>I68</f>
        <v>3536.6099999999997</v>
      </c>
    </row>
    <row r="130" spans="1:9">
      <c r="A130" s="193" t="s">
        <v>547</v>
      </c>
      <c r="B130" s="461" t="s">
        <v>632</v>
      </c>
      <c r="C130" s="461"/>
      <c r="D130" s="461"/>
      <c r="E130" s="461"/>
      <c r="F130" s="461"/>
      <c r="G130" s="461"/>
      <c r="H130" s="461"/>
      <c r="I130" s="197">
        <f>I77</f>
        <v>280.92</v>
      </c>
    </row>
    <row r="131" spans="1:9">
      <c r="A131" s="193" t="s">
        <v>550</v>
      </c>
      <c r="B131" s="461" t="s">
        <v>640</v>
      </c>
      <c r="C131" s="461"/>
      <c r="D131" s="461"/>
      <c r="E131" s="461"/>
      <c r="F131" s="461"/>
      <c r="G131" s="461"/>
      <c r="H131" s="461"/>
      <c r="I131" s="197">
        <f>I97</f>
        <v>91.31</v>
      </c>
    </row>
    <row r="132" spans="1:9">
      <c r="A132" s="193" t="s">
        <v>577</v>
      </c>
      <c r="B132" s="461" t="s">
        <v>659</v>
      </c>
      <c r="C132" s="461"/>
      <c r="D132" s="461"/>
      <c r="E132" s="461"/>
      <c r="F132" s="461"/>
      <c r="G132" s="461"/>
      <c r="H132" s="461"/>
      <c r="I132" s="197">
        <f>I105</f>
        <v>185.99285416666669</v>
      </c>
    </row>
    <row r="133" spans="1:9">
      <c r="A133" s="195"/>
      <c r="B133" s="460" t="s">
        <v>686</v>
      </c>
      <c r="C133" s="460"/>
      <c r="D133" s="460"/>
      <c r="E133" s="460"/>
      <c r="F133" s="460"/>
      <c r="G133" s="460"/>
      <c r="H133" s="460"/>
      <c r="I133" s="200">
        <f>SUM(I128:I132)</f>
        <v>8021.4828541666666</v>
      </c>
    </row>
    <row r="134" spans="1:9">
      <c r="A134" s="193" t="s">
        <v>579</v>
      </c>
      <c r="B134" s="461" t="s">
        <v>665</v>
      </c>
      <c r="C134" s="461"/>
      <c r="D134" s="461"/>
      <c r="E134" s="461"/>
      <c r="F134" s="461"/>
      <c r="G134" s="461"/>
      <c r="H134" s="461"/>
      <c r="I134" s="197">
        <f>I115</f>
        <v>1918.39</v>
      </c>
    </row>
    <row r="135" spans="1:9">
      <c r="A135" s="460" t="s">
        <v>687</v>
      </c>
      <c r="B135" s="460"/>
      <c r="C135" s="460"/>
      <c r="D135" s="460"/>
      <c r="E135" s="460"/>
      <c r="F135" s="460"/>
      <c r="G135" s="460"/>
      <c r="H135" s="460"/>
      <c r="I135" s="200">
        <f>I133+I134</f>
        <v>9939.872854166666</v>
      </c>
    </row>
    <row r="136" spans="1:9">
      <c r="A136" s="460" t="s">
        <v>688</v>
      </c>
      <c r="B136" s="460"/>
      <c r="C136" s="460"/>
      <c r="D136" s="460"/>
      <c r="E136" s="460"/>
      <c r="F136" s="460"/>
      <c r="G136" s="460"/>
      <c r="H136" s="460"/>
      <c r="I136" s="254">
        <f>TRUNC(I135*2,2)</f>
        <v>19879.740000000002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9" t="s">
        <v>689</v>
      </c>
      <c r="C138" s="429"/>
      <c r="D138" s="429"/>
      <c r="E138" s="429"/>
      <c r="F138" s="429"/>
      <c r="G138" s="429"/>
      <c r="H138" s="192"/>
      <c r="I138" s="192"/>
    </row>
    <row r="139" spans="1:9" ht="64.5" hidden="1" thickBot="1">
      <c r="A139" s="462" t="s">
        <v>690</v>
      </c>
      <c r="B139" s="463"/>
      <c r="C139" s="462" t="s">
        <v>691</v>
      </c>
      <c r="D139" s="463"/>
      <c r="E139" s="462" t="s">
        <v>692</v>
      </c>
      <c r="F139" s="463"/>
      <c r="G139" s="231" t="s">
        <v>693</v>
      </c>
      <c r="H139" s="232" t="s">
        <v>694</v>
      </c>
      <c r="I139" s="233" t="s">
        <v>570</v>
      </c>
    </row>
    <row r="140" spans="1:9" hidden="1">
      <c r="A140" s="454" t="s">
        <v>695</v>
      </c>
      <c r="B140" s="455"/>
      <c r="C140" s="456" t="s">
        <v>478</v>
      </c>
      <c r="D140" s="457"/>
      <c r="E140" s="458"/>
      <c r="F140" s="459"/>
      <c r="G140" s="235" t="s">
        <v>478</v>
      </c>
      <c r="H140" s="236"/>
      <c r="I140" s="237">
        <v>0</v>
      </c>
    </row>
    <row r="141" spans="1:9" hidden="1">
      <c r="A141" s="450" t="s">
        <v>696</v>
      </c>
      <c r="B141" s="451"/>
      <c r="C141" s="452" t="s">
        <v>478</v>
      </c>
      <c r="D141" s="453"/>
      <c r="E141" s="444"/>
      <c r="F141" s="445"/>
      <c r="G141" s="211" t="s">
        <v>478</v>
      </c>
      <c r="H141" s="239"/>
      <c r="I141" s="240">
        <v>0</v>
      </c>
    </row>
    <row r="142" spans="1:9" hidden="1">
      <c r="A142" s="450" t="s">
        <v>697</v>
      </c>
      <c r="B142" s="451"/>
      <c r="C142" s="452" t="s">
        <v>478</v>
      </c>
      <c r="D142" s="453"/>
      <c r="E142" s="444"/>
      <c r="F142" s="445"/>
      <c r="G142" s="211" t="s">
        <v>478</v>
      </c>
      <c r="H142" s="239"/>
      <c r="I142" s="240">
        <v>0</v>
      </c>
    </row>
    <row r="143" spans="1:9" hidden="1">
      <c r="A143" s="450" t="s">
        <v>698</v>
      </c>
      <c r="B143" s="451"/>
      <c r="C143" s="452" t="s">
        <v>478</v>
      </c>
      <c r="D143" s="453"/>
      <c r="E143" s="444"/>
      <c r="F143" s="445"/>
      <c r="G143" s="211" t="s">
        <v>478</v>
      </c>
      <c r="H143" s="239"/>
      <c r="I143" s="240">
        <v>0</v>
      </c>
    </row>
    <row r="144" spans="1:9" hidden="1">
      <c r="A144" s="442"/>
      <c r="B144" s="443"/>
      <c r="C144" s="444"/>
      <c r="D144" s="445"/>
      <c r="E144" s="444"/>
      <c r="F144" s="445"/>
      <c r="G144" s="241"/>
      <c r="H144" s="242"/>
      <c r="I144" s="240"/>
    </row>
    <row r="145" spans="1:9" ht="15.75" hidden="1" thickBot="1">
      <c r="A145" s="446"/>
      <c r="B145" s="447"/>
      <c r="C145" s="448"/>
      <c r="D145" s="449"/>
      <c r="E145" s="448"/>
      <c r="F145" s="449"/>
      <c r="G145" s="243"/>
      <c r="H145" s="244"/>
      <c r="I145" s="245"/>
    </row>
    <row r="146" spans="1:9" ht="15.75" hidden="1" thickBot="1">
      <c r="A146" s="426" t="s">
        <v>699</v>
      </c>
      <c r="B146" s="427"/>
      <c r="C146" s="427"/>
      <c r="D146" s="427"/>
      <c r="E146" s="427"/>
      <c r="F146" s="427"/>
      <c r="G146" s="427"/>
      <c r="H146" s="42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9" t="s">
        <v>701</v>
      </c>
      <c r="C148" s="429"/>
      <c r="D148" s="429"/>
      <c r="E148" s="429"/>
      <c r="F148" s="429"/>
      <c r="G148" s="429"/>
      <c r="H148" s="192"/>
      <c r="I148" s="192"/>
    </row>
    <row r="149" spans="1:9" ht="15.75" hidden="1" thickBot="1">
      <c r="A149" s="430" t="s">
        <v>702</v>
      </c>
      <c r="B149" s="431"/>
      <c r="C149" s="431"/>
      <c r="D149" s="431"/>
      <c r="E149" s="431"/>
      <c r="F149" s="431"/>
      <c r="G149" s="431"/>
      <c r="H149" s="431"/>
      <c r="I149" s="432"/>
    </row>
    <row r="150" spans="1:9" ht="15.75" hidden="1" thickBot="1">
      <c r="A150" s="247"/>
      <c r="B150" s="433" t="s">
        <v>703</v>
      </c>
      <c r="C150" s="434"/>
      <c r="D150" s="434"/>
      <c r="E150" s="434"/>
      <c r="F150" s="434"/>
      <c r="G150" s="434"/>
      <c r="H150" s="435"/>
      <c r="I150" s="233" t="s">
        <v>570</v>
      </c>
    </row>
    <row r="151" spans="1:9" hidden="1">
      <c r="A151" s="234" t="s">
        <v>542</v>
      </c>
      <c r="B151" s="436" t="s">
        <v>704</v>
      </c>
      <c r="C151" s="437"/>
      <c r="D151" s="437"/>
      <c r="E151" s="437"/>
      <c r="F151" s="437"/>
      <c r="G151" s="437"/>
      <c r="H151" s="438"/>
      <c r="I151" s="248">
        <v>115.15</v>
      </c>
    </row>
    <row r="152" spans="1:9" hidden="1">
      <c r="A152" s="238" t="s">
        <v>544</v>
      </c>
      <c r="B152" s="439" t="s">
        <v>705</v>
      </c>
      <c r="C152" s="440"/>
      <c r="D152" s="440"/>
      <c r="E152" s="440"/>
      <c r="F152" s="440"/>
      <c r="G152" s="440"/>
      <c r="H152" s="441"/>
      <c r="I152" s="249" t="e">
        <v>#REF!</v>
      </c>
    </row>
    <row r="153" spans="1:9" ht="15.75" hidden="1" thickBot="1">
      <c r="A153" s="238" t="s">
        <v>547</v>
      </c>
      <c r="B153" s="418" t="s">
        <v>706</v>
      </c>
      <c r="C153" s="419"/>
      <c r="D153" s="419"/>
      <c r="E153" s="419"/>
      <c r="F153" s="419"/>
      <c r="G153" s="419"/>
      <c r="H153" s="420"/>
      <c r="I153" s="249">
        <v>1641.84</v>
      </c>
    </row>
    <row r="154" spans="1:9" ht="15.75" hidden="1" thickBot="1">
      <c r="A154" s="421" t="s">
        <v>707</v>
      </c>
      <c r="B154" s="422"/>
      <c r="C154" s="422"/>
      <c r="D154" s="422"/>
      <c r="E154" s="422"/>
      <c r="F154" s="422"/>
      <c r="G154" s="422"/>
      <c r="H154" s="423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24" t="s">
        <v>710</v>
      </c>
      <c r="B158" s="424"/>
      <c r="C158" s="424"/>
      <c r="D158" s="424"/>
      <c r="E158" s="424"/>
      <c r="F158" s="424"/>
      <c r="G158" s="424"/>
      <c r="H158" s="424"/>
      <c r="I158" s="250">
        <f>I135/I35</f>
        <v>2.5313875324173702</v>
      </c>
    </row>
    <row r="159" spans="1:9" ht="31.5" customHeight="1">
      <c r="A159" s="425" t="s">
        <v>711</v>
      </c>
      <c r="B159" s="425"/>
      <c r="C159" s="425"/>
      <c r="D159" s="425"/>
      <c r="E159" s="425"/>
      <c r="F159" s="425"/>
      <c r="G159" s="425"/>
      <c r="H159" s="425"/>
      <c r="I159" s="425"/>
    </row>
    <row r="160" spans="1:9" ht="63" customHeight="1">
      <c r="A160" s="425" t="s">
        <v>712</v>
      </c>
      <c r="B160" s="425"/>
      <c r="C160" s="425"/>
      <c r="D160" s="425"/>
      <c r="E160" s="425"/>
      <c r="F160" s="425"/>
      <c r="G160" s="425"/>
      <c r="H160" s="425"/>
      <c r="I160" s="425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3"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E143:F143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B153:H153"/>
    <mergeCell ref="A154:H154"/>
    <mergeCell ref="A158:H158"/>
    <mergeCell ref="A159:I159"/>
    <mergeCell ref="A160:I160"/>
    <mergeCell ref="J32:N32"/>
    <mergeCell ref="J33:N33"/>
    <mergeCell ref="A146:H146"/>
    <mergeCell ref="B148:G148"/>
    <mergeCell ref="A149:I149"/>
    <mergeCell ref="B150:H150"/>
    <mergeCell ref="B151:H151"/>
    <mergeCell ref="B152:H152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Uniformes</vt:lpstr>
      <vt:lpstr>Equipamento</vt:lpstr>
      <vt:lpstr>Material de apoio</vt:lpstr>
      <vt:lpstr>Seguro de Vida</vt:lpstr>
      <vt:lpstr>Resumo</vt:lpstr>
      <vt:lpstr>CT Diu Arm</vt:lpstr>
      <vt:lpstr>CT Not Arm</vt:lpstr>
      <vt:lpstr>Sed Diu Des</vt:lpstr>
      <vt:lpstr>Sed Not Des</vt:lpstr>
      <vt:lpstr>Sed Diu Des seg_sex</vt:lpstr>
      <vt:lpstr>Final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marco.amaral</dc:creator>
  <cp:keywords/>
  <dc:description/>
  <cp:lastModifiedBy>Carlos Hiroaki Oba</cp:lastModifiedBy>
  <cp:revision/>
  <dcterms:created xsi:type="dcterms:W3CDTF">2013-05-08T14:34:10Z</dcterms:created>
  <dcterms:modified xsi:type="dcterms:W3CDTF">2025-06-03T14:34:38Z</dcterms:modified>
  <cp:category/>
  <cp:contentStatus/>
</cp:coreProperties>
</file>