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nac-my.sharepoint.com/personal/levi_souza_anac_gov_br/Documents/Documentos/BSB/repactuação/agil/ctt 34 - 25/"/>
    </mc:Choice>
  </mc:AlternateContent>
  <xr:revisionPtr revIDLastSave="0" documentId="8_{FA247C95-9068-4397-BC2A-5AA7D9592756}" xr6:coauthVersionLast="47" xr6:coauthVersionMax="47" xr10:uidLastSave="{00000000-0000-0000-0000-000000000000}"/>
  <bookViews>
    <workbookView xWindow="-110" yWindow="-110" windowWidth="19420" windowHeight="10300" activeTab="8" xr2:uid="{409372D5-69BF-41D3-994B-BC71DD1B438A}"/>
  </bookViews>
  <sheets>
    <sheet name="Proposta" sheetId="59" r:id="rId1"/>
    <sheet name="vdd 2 a 6 I" sheetId="9" r:id="rId2"/>
    <sheet name="vdd I" sheetId="51" r:id="rId3"/>
    <sheet name="vdn I " sheetId="56" r:id="rId4"/>
    <sheet name="vda II" sheetId="57" r:id="rId5"/>
    <sheet name="vna II" sheetId="58" r:id="rId6"/>
    <sheet name="mc" sheetId="60" state="hidden" r:id="rId7"/>
    <sheet name="unif equip" sheetId="55" r:id="rId8"/>
    <sheet name="resumo" sheetId="50" r:id="rId9"/>
  </sheets>
  <definedNames>
    <definedName name="_xlnm.Print_Area" localSheetId="6">mc!$B$2:$G$83</definedName>
    <definedName name="_xlnm.Print_Area" localSheetId="0">Proposta!$B$2:$P$60</definedName>
    <definedName name="_xlnm.Print_Area" localSheetId="8">resumo!$B$2:$J$19</definedName>
    <definedName name="_xlnm.Print_Area" localSheetId="7">'unif equip'!$B$2:$I$87</definedName>
    <definedName name="_xlnm.Print_Area" localSheetId="4">'vda II'!$B$2:$J$136</definedName>
    <definedName name="_xlnm.Print_Area" localSheetId="1">'vdd 2 a 6 I'!$B$2:$J$136</definedName>
    <definedName name="_xlnm.Print_Area" localSheetId="2">'vdd I'!$B$2:$J$136</definedName>
    <definedName name="_xlnm.Print_Area" localSheetId="3">'vdn I '!$B$2:$J$136</definedName>
    <definedName name="_xlnm.Print_Area" localSheetId="5">'vna II'!$B$2:$J$136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8" i="56" l="1"/>
  <c r="K48" i="51"/>
  <c r="K55" i="9"/>
  <c r="K98" i="58"/>
  <c r="K98" i="57"/>
  <c r="K98" i="56"/>
  <c r="K98" i="51"/>
  <c r="K98" i="9"/>
  <c r="K49" i="58"/>
  <c r="K50" i="58"/>
  <c r="K51" i="58"/>
  <c r="K52" i="58"/>
  <c r="K53" i="58"/>
  <c r="K54" i="58"/>
  <c r="K55" i="58"/>
  <c r="K48" i="58"/>
  <c r="K49" i="57"/>
  <c r="K50" i="57"/>
  <c r="K51" i="57"/>
  <c r="K52" i="57"/>
  <c r="K53" i="57"/>
  <c r="K54" i="57"/>
  <c r="K55" i="57"/>
  <c r="K48" i="57"/>
  <c r="K49" i="56"/>
  <c r="K50" i="56"/>
  <c r="K51" i="56"/>
  <c r="K52" i="56"/>
  <c r="K53" i="56"/>
  <c r="K54" i="56"/>
  <c r="K55" i="56"/>
  <c r="K49" i="51"/>
  <c r="K50" i="51"/>
  <c r="K51" i="51"/>
  <c r="K52" i="51"/>
  <c r="K53" i="51"/>
  <c r="K54" i="51"/>
  <c r="K55" i="51"/>
  <c r="K49" i="9"/>
  <c r="K50" i="9"/>
  <c r="K51" i="9"/>
  <c r="K52" i="9"/>
  <c r="K53" i="9"/>
  <c r="K54" i="9"/>
  <c r="K48" i="9"/>
  <c r="K62" i="58"/>
  <c r="J24" i="58"/>
  <c r="K62" i="57"/>
  <c r="J24" i="57"/>
  <c r="K62" i="56"/>
  <c r="K30" i="56"/>
  <c r="J24" i="56"/>
  <c r="K30" i="9"/>
  <c r="K30" i="51"/>
  <c r="J24" i="51"/>
  <c r="K62" i="51"/>
  <c r="K62" i="9"/>
  <c r="K60" i="9"/>
  <c r="J24" i="9"/>
  <c r="I98" i="9" l="1"/>
  <c r="K111" i="58" l="1"/>
  <c r="K110" i="58"/>
  <c r="K109" i="58"/>
  <c r="K111" i="57"/>
  <c r="K110" i="57"/>
  <c r="K109" i="57"/>
  <c r="K111" i="56"/>
  <c r="K110" i="56"/>
  <c r="K109" i="56"/>
  <c r="K111" i="51"/>
  <c r="K110" i="51"/>
  <c r="K109" i="51"/>
  <c r="K111" i="9"/>
  <c r="K113" i="9" s="1"/>
  <c r="K131" i="9" s="1"/>
  <c r="K110" i="9"/>
  <c r="K109" i="9"/>
  <c r="K31" i="9"/>
  <c r="J121" i="58"/>
  <c r="J120" i="58"/>
  <c r="K113" i="58"/>
  <c r="K131" i="58" s="1"/>
  <c r="J94" i="58"/>
  <c r="J79" i="58"/>
  <c r="K60" i="58"/>
  <c r="J56" i="58"/>
  <c r="J72" i="58" s="1"/>
  <c r="J50" i="58"/>
  <c r="K56" i="58"/>
  <c r="K72" i="58" s="1"/>
  <c r="J44" i="58"/>
  <c r="J71" i="58" s="1"/>
  <c r="J74" i="58" s="1"/>
  <c r="K30" i="58"/>
  <c r="K61" i="58" s="1"/>
  <c r="K67" i="58" s="1"/>
  <c r="K73" i="58" s="1"/>
  <c r="J121" i="57"/>
  <c r="J120" i="57"/>
  <c r="K113" i="57"/>
  <c r="K131" i="57" s="1"/>
  <c r="J94" i="57"/>
  <c r="J79" i="57"/>
  <c r="K60" i="57"/>
  <c r="J56" i="57"/>
  <c r="J72" i="57" s="1"/>
  <c r="J50" i="57"/>
  <c r="K56" i="57" s="1"/>
  <c r="K72" i="57" s="1"/>
  <c r="J44" i="57"/>
  <c r="J71" i="57" s="1"/>
  <c r="K30" i="57"/>
  <c r="K31" i="57" s="1"/>
  <c r="K37" i="57" s="1"/>
  <c r="J121" i="56"/>
  <c r="J120" i="56"/>
  <c r="J119" i="56"/>
  <c r="K113" i="56"/>
  <c r="K131" i="56" s="1"/>
  <c r="J94" i="56"/>
  <c r="J79" i="56"/>
  <c r="K60" i="56"/>
  <c r="J56" i="56"/>
  <c r="J72" i="56" s="1"/>
  <c r="J50" i="56"/>
  <c r="K56" i="56"/>
  <c r="K72" i="56" s="1"/>
  <c r="J44" i="56"/>
  <c r="J71" i="56" s="1"/>
  <c r="J74" i="56" s="1"/>
  <c r="K61" i="56"/>
  <c r="J121" i="51"/>
  <c r="J120" i="51"/>
  <c r="J94" i="51"/>
  <c r="J79" i="51"/>
  <c r="K60" i="51"/>
  <c r="J56" i="51"/>
  <c r="J72" i="51" s="1"/>
  <c r="J50" i="51"/>
  <c r="K56" i="51" s="1"/>
  <c r="K72" i="51" s="1"/>
  <c r="J44" i="51"/>
  <c r="J71" i="51" s="1"/>
  <c r="J121" i="9"/>
  <c r="J120" i="9"/>
  <c r="J94" i="9"/>
  <c r="J79" i="9"/>
  <c r="J50" i="9"/>
  <c r="K56" i="9"/>
  <c r="K72" i="9" s="1"/>
  <c r="J44" i="9"/>
  <c r="J71" i="9" s="1"/>
  <c r="F82" i="60"/>
  <c r="E65" i="60"/>
  <c r="E71" i="60"/>
  <c r="F80" i="60"/>
  <c r="E50" i="60"/>
  <c r="E28" i="60"/>
  <c r="E34" i="60"/>
  <c r="E22" i="60"/>
  <c r="F78" i="60"/>
  <c r="E53" i="60"/>
  <c r="E55" i="60"/>
  <c r="F79" i="60"/>
  <c r="E44" i="60"/>
  <c r="F77" i="60"/>
  <c r="I60" i="58"/>
  <c r="I62" i="57"/>
  <c r="I60" i="57"/>
  <c r="I61" i="57"/>
  <c r="I67" i="57"/>
  <c r="I73" i="57"/>
  <c r="I74" i="57"/>
  <c r="I109" i="9"/>
  <c r="I110" i="9"/>
  <c r="I113" i="9"/>
  <c r="I111" i="9"/>
  <c r="I131" i="51"/>
  <c r="I131" i="56"/>
  <c r="I131" i="57"/>
  <c r="I131" i="58"/>
  <c r="I129" i="51"/>
  <c r="I129" i="56"/>
  <c r="I129" i="57"/>
  <c r="I129" i="58"/>
  <c r="I129" i="9"/>
  <c r="I128" i="51"/>
  <c r="I128" i="56"/>
  <c r="I128" i="9"/>
  <c r="I127" i="51"/>
  <c r="I127" i="56"/>
  <c r="I127" i="57"/>
  <c r="I127" i="58"/>
  <c r="I127" i="9"/>
  <c r="I113" i="51"/>
  <c r="I113" i="56"/>
  <c r="I113" i="57"/>
  <c r="I113" i="58"/>
  <c r="I104" i="51"/>
  <c r="I104" i="56"/>
  <c r="I104" i="57"/>
  <c r="I104" i="58"/>
  <c r="I99" i="51"/>
  <c r="I99" i="56"/>
  <c r="I99" i="57"/>
  <c r="I99" i="58"/>
  <c r="I99" i="9"/>
  <c r="I104" i="9" s="1"/>
  <c r="I105" i="9" s="1"/>
  <c r="I84" i="51"/>
  <c r="I84" i="56"/>
  <c r="I84" i="57"/>
  <c r="I84" i="58"/>
  <c r="I84" i="9"/>
  <c r="I83" i="51"/>
  <c r="I83" i="56"/>
  <c r="I83" i="57"/>
  <c r="I83" i="58"/>
  <c r="I83" i="9"/>
  <c r="I82" i="51"/>
  <c r="I82" i="56"/>
  <c r="I82" i="57"/>
  <c r="I82" i="58"/>
  <c r="I82" i="9"/>
  <c r="I81" i="51"/>
  <c r="I81" i="56"/>
  <c r="I81" i="57"/>
  <c r="I81" i="58"/>
  <c r="I81" i="9"/>
  <c r="I80" i="51"/>
  <c r="I80" i="56"/>
  <c r="I80" i="57"/>
  <c r="I80" i="58"/>
  <c r="I80" i="9"/>
  <c r="I79" i="51"/>
  <c r="I79" i="56"/>
  <c r="I79" i="57"/>
  <c r="I79" i="58"/>
  <c r="I79" i="9"/>
  <c r="I78" i="51"/>
  <c r="I78" i="56"/>
  <c r="I78" i="57"/>
  <c r="I78" i="58"/>
  <c r="I78" i="9"/>
  <c r="H74" i="51"/>
  <c r="H74" i="56"/>
  <c r="H74" i="57"/>
  <c r="H74" i="58"/>
  <c r="H74" i="9"/>
  <c r="H72" i="51"/>
  <c r="H72" i="56"/>
  <c r="H72" i="57"/>
  <c r="H72" i="58"/>
  <c r="H72" i="9"/>
  <c r="I73" i="51"/>
  <c r="I73" i="56"/>
  <c r="I73" i="9"/>
  <c r="I72" i="51"/>
  <c r="I72" i="56"/>
  <c r="I72" i="57"/>
  <c r="I72" i="58"/>
  <c r="I72" i="9"/>
  <c r="I71" i="51"/>
  <c r="I71" i="56"/>
  <c r="I71" i="57"/>
  <c r="I71" i="58"/>
  <c r="I71" i="9"/>
  <c r="I67" i="51"/>
  <c r="I67" i="56"/>
  <c r="I67" i="9"/>
  <c r="I44" i="51"/>
  <c r="I44" i="56"/>
  <c r="I44" i="57"/>
  <c r="I44" i="58"/>
  <c r="I44" i="9"/>
  <c r="I43" i="51"/>
  <c r="I43" i="56"/>
  <c r="I43" i="57"/>
  <c r="I52" i="57"/>
  <c r="I43" i="58"/>
  <c r="I43" i="9"/>
  <c r="I42" i="51"/>
  <c r="I42" i="56"/>
  <c r="I42" i="57"/>
  <c r="I42" i="58"/>
  <c r="I42" i="9"/>
  <c r="H56" i="51"/>
  <c r="H56" i="56"/>
  <c r="H56" i="57"/>
  <c r="H56" i="58"/>
  <c r="H82" i="58"/>
  <c r="H56" i="9"/>
  <c r="I34" i="56"/>
  <c r="I33" i="56"/>
  <c r="E81" i="55"/>
  <c r="I62" i="58"/>
  <c r="I62" i="56"/>
  <c r="I62" i="51"/>
  <c r="L64" i="56"/>
  <c r="L63" i="56"/>
  <c r="L62" i="56"/>
  <c r="I62" i="9"/>
  <c r="F81" i="55"/>
  <c r="H81" i="55"/>
  <c r="F82" i="55"/>
  <c r="F83" i="55"/>
  <c r="F84" i="55"/>
  <c r="H84" i="55"/>
  <c r="H83" i="55"/>
  <c r="H82" i="55"/>
  <c r="F80" i="55"/>
  <c r="H80" i="55"/>
  <c r="F79" i="55"/>
  <c r="H79" i="55"/>
  <c r="F78" i="55"/>
  <c r="H78" i="55"/>
  <c r="F77" i="55"/>
  <c r="H77" i="55"/>
  <c r="F76" i="55"/>
  <c r="H76" i="55"/>
  <c r="F75" i="55"/>
  <c r="H75" i="55"/>
  <c r="F74" i="55"/>
  <c r="H74" i="55"/>
  <c r="F73" i="55"/>
  <c r="H73" i="55"/>
  <c r="F72" i="55"/>
  <c r="H72" i="55"/>
  <c r="F65" i="55"/>
  <c r="H65" i="55"/>
  <c r="F64" i="55"/>
  <c r="H64" i="55"/>
  <c r="F63" i="55"/>
  <c r="H63" i="55"/>
  <c r="F62" i="55"/>
  <c r="H62" i="55"/>
  <c r="F61" i="55"/>
  <c r="H61" i="55"/>
  <c r="F60" i="55"/>
  <c r="H60" i="55"/>
  <c r="F59" i="55"/>
  <c r="H59" i="55"/>
  <c r="F58" i="55"/>
  <c r="H58" i="55"/>
  <c r="F38" i="55"/>
  <c r="H38" i="55"/>
  <c r="F49" i="55"/>
  <c r="H49" i="55"/>
  <c r="E7" i="55"/>
  <c r="G31" i="55"/>
  <c r="G15" i="55"/>
  <c r="G14" i="55"/>
  <c r="G13" i="55"/>
  <c r="H50" i="51"/>
  <c r="H50" i="56"/>
  <c r="H50" i="57"/>
  <c r="H50" i="58"/>
  <c r="H50" i="9"/>
  <c r="G31" i="59"/>
  <c r="G32" i="59"/>
  <c r="G33" i="59"/>
  <c r="G34" i="59"/>
  <c r="G30" i="59"/>
  <c r="F35" i="59"/>
  <c r="I60" i="56"/>
  <c r="I60" i="51"/>
  <c r="I60" i="9"/>
  <c r="I61" i="9"/>
  <c r="H79" i="51"/>
  <c r="H79" i="56"/>
  <c r="H79" i="57"/>
  <c r="H79" i="58"/>
  <c r="H79" i="9"/>
  <c r="H94" i="9"/>
  <c r="F52" i="55"/>
  <c r="H52" i="55"/>
  <c r="F51" i="55"/>
  <c r="H51" i="55"/>
  <c r="F50" i="55"/>
  <c r="H50" i="55"/>
  <c r="F48" i="55"/>
  <c r="H48" i="55"/>
  <c r="F41" i="55"/>
  <c r="H41" i="55"/>
  <c r="F40" i="55"/>
  <c r="H40" i="55"/>
  <c r="H42" i="55"/>
  <c r="H43" i="55"/>
  <c r="F39" i="55"/>
  <c r="H39" i="55"/>
  <c r="F37" i="55"/>
  <c r="H37" i="55"/>
  <c r="G28" i="55"/>
  <c r="G27" i="55"/>
  <c r="G12" i="55"/>
  <c r="G11" i="55"/>
  <c r="G10" i="55"/>
  <c r="G9" i="55"/>
  <c r="G8" i="55"/>
  <c r="G7" i="55"/>
  <c r="H121" i="58"/>
  <c r="H119" i="58"/>
  <c r="H120" i="58"/>
  <c r="H44" i="58"/>
  <c r="H71" i="58"/>
  <c r="I30" i="58"/>
  <c r="M6" i="58"/>
  <c r="M5" i="58"/>
  <c r="H121" i="57"/>
  <c r="H120" i="57"/>
  <c r="H44" i="57"/>
  <c r="H71" i="57"/>
  <c r="I30" i="57"/>
  <c r="M6" i="57"/>
  <c r="M5" i="57"/>
  <c r="H121" i="56"/>
  <c r="H120" i="56"/>
  <c r="H44" i="56"/>
  <c r="H71" i="56"/>
  <c r="I30" i="56"/>
  <c r="I31" i="56"/>
  <c r="M6" i="56"/>
  <c r="M5" i="56"/>
  <c r="F6" i="50"/>
  <c r="F7" i="50"/>
  <c r="F8" i="50"/>
  <c r="M6" i="51"/>
  <c r="M5" i="51"/>
  <c r="G30" i="55"/>
  <c r="G29" i="55"/>
  <c r="G26" i="55"/>
  <c r="G32" i="55"/>
  <c r="G33" i="55"/>
  <c r="G25" i="55"/>
  <c r="G23" i="55"/>
  <c r="G22" i="55"/>
  <c r="G21" i="55"/>
  <c r="G24" i="55"/>
  <c r="H121" i="51"/>
  <c r="H120" i="51"/>
  <c r="H119" i="51"/>
  <c r="H44" i="51"/>
  <c r="H71" i="51"/>
  <c r="I30" i="51"/>
  <c r="F9" i="50"/>
  <c r="F5" i="50"/>
  <c r="H120" i="9"/>
  <c r="H119" i="9"/>
  <c r="E10" i="50"/>
  <c r="I30" i="9"/>
  <c r="H121" i="9"/>
  <c r="H44" i="9"/>
  <c r="H71" i="9"/>
  <c r="I31" i="57"/>
  <c r="H94" i="56"/>
  <c r="I61" i="58"/>
  <c r="I67" i="58"/>
  <c r="I73" i="58"/>
  <c r="I74" i="58"/>
  <c r="H94" i="57"/>
  <c r="H94" i="58"/>
  <c r="H94" i="51"/>
  <c r="I61" i="51"/>
  <c r="I31" i="58"/>
  <c r="I34" i="58"/>
  <c r="H119" i="57"/>
  <c r="I98" i="57"/>
  <c r="H119" i="56"/>
  <c r="I98" i="56"/>
  <c r="I61" i="56"/>
  <c r="I31" i="51"/>
  <c r="I98" i="51"/>
  <c r="I31" i="9"/>
  <c r="I37" i="51"/>
  <c r="I37" i="9"/>
  <c r="H82" i="56"/>
  <c r="H84" i="56"/>
  <c r="H82" i="57"/>
  <c r="H84" i="57"/>
  <c r="I37" i="56"/>
  <c r="I37" i="57"/>
  <c r="I33" i="58"/>
  <c r="I37" i="58"/>
  <c r="I98" i="58"/>
  <c r="I90" i="58"/>
  <c r="I92" i="58"/>
  <c r="I88" i="58"/>
  <c r="I91" i="58"/>
  <c r="I89" i="58"/>
  <c r="I93" i="58"/>
  <c r="H82" i="9"/>
  <c r="H84" i="9"/>
  <c r="I88" i="9"/>
  <c r="I90" i="9"/>
  <c r="I91" i="9"/>
  <c r="I92" i="9"/>
  <c r="I89" i="9"/>
  <c r="I93" i="9"/>
  <c r="I54" i="9"/>
  <c r="H82" i="51"/>
  <c r="H84" i="51"/>
  <c r="I91" i="57"/>
  <c r="I92" i="57"/>
  <c r="I93" i="57"/>
  <c r="I88" i="57"/>
  <c r="I89" i="57"/>
  <c r="I90" i="57"/>
  <c r="I93" i="51"/>
  <c r="I88" i="51"/>
  <c r="I89" i="51"/>
  <c r="I92" i="51"/>
  <c r="I91" i="51"/>
  <c r="I90" i="51"/>
  <c r="I54" i="51"/>
  <c r="I94" i="57"/>
  <c r="I103" i="57"/>
  <c r="I105" i="57"/>
  <c r="H53" i="55"/>
  <c r="H54" i="55"/>
  <c r="I111" i="57"/>
  <c r="G16" i="55"/>
  <c r="G17" i="55"/>
  <c r="I109" i="56"/>
  <c r="I109" i="51"/>
  <c r="H85" i="55"/>
  <c r="H86" i="55"/>
  <c r="I110" i="58"/>
  <c r="I110" i="57"/>
  <c r="H66" i="55"/>
  <c r="H67" i="55"/>
  <c r="I110" i="56"/>
  <c r="I111" i="58"/>
  <c r="I111" i="56"/>
  <c r="I111" i="51"/>
  <c r="I109" i="57"/>
  <c r="I109" i="58"/>
  <c r="I110" i="51"/>
  <c r="I94" i="51"/>
  <c r="I103" i="51"/>
  <c r="I105" i="51"/>
  <c r="I94" i="58"/>
  <c r="I103" i="58"/>
  <c r="I105" i="58"/>
  <c r="I130" i="58"/>
  <c r="I130" i="57"/>
  <c r="I130" i="51"/>
  <c r="I132" i="51"/>
  <c r="I117" i="51"/>
  <c r="I55" i="51"/>
  <c r="I51" i="51"/>
  <c r="I49" i="58"/>
  <c r="I53" i="58"/>
  <c r="I50" i="58"/>
  <c r="I51" i="58"/>
  <c r="I54" i="58"/>
  <c r="I49" i="57"/>
  <c r="I55" i="9"/>
  <c r="I48" i="51"/>
  <c r="I52" i="51"/>
  <c r="I54" i="57"/>
  <c r="I49" i="9"/>
  <c r="I49" i="51"/>
  <c r="I51" i="57"/>
  <c r="I53" i="9"/>
  <c r="I53" i="51"/>
  <c r="I55" i="57"/>
  <c r="I51" i="9"/>
  <c r="I53" i="57"/>
  <c r="I48" i="9"/>
  <c r="I56" i="9"/>
  <c r="I50" i="57"/>
  <c r="I52" i="9"/>
  <c r="I48" i="57"/>
  <c r="I50" i="9"/>
  <c r="I50" i="51"/>
  <c r="H84" i="58"/>
  <c r="I91" i="56"/>
  <c r="I89" i="56"/>
  <c r="I88" i="56"/>
  <c r="I92" i="56"/>
  <c r="I93" i="56"/>
  <c r="I90" i="56"/>
  <c r="I118" i="51"/>
  <c r="I48" i="58"/>
  <c r="I55" i="58"/>
  <c r="I52" i="58"/>
  <c r="I56" i="58"/>
  <c r="I74" i="9"/>
  <c r="I56" i="51"/>
  <c r="I74" i="51"/>
  <c r="I55" i="56"/>
  <c r="I51" i="56"/>
  <c r="I53" i="56"/>
  <c r="I54" i="56"/>
  <c r="I50" i="56"/>
  <c r="I49" i="56"/>
  <c r="I52" i="56"/>
  <c r="I48" i="56"/>
  <c r="I56" i="57"/>
  <c r="I94" i="56"/>
  <c r="I103" i="56"/>
  <c r="I105" i="56"/>
  <c r="I117" i="56"/>
  <c r="I130" i="56"/>
  <c r="I132" i="56"/>
  <c r="I56" i="56"/>
  <c r="I118" i="56"/>
  <c r="I74" i="56"/>
  <c r="I128" i="58"/>
  <c r="I132" i="58"/>
  <c r="I117" i="58"/>
  <c r="I118" i="58"/>
  <c r="I128" i="57"/>
  <c r="I132" i="57"/>
  <c r="I117" i="57"/>
  <c r="I118" i="57"/>
  <c r="I131" i="9"/>
  <c r="I94" i="9"/>
  <c r="I103" i="9"/>
  <c r="F10" i="50" l="1"/>
  <c r="K31" i="58"/>
  <c r="K34" i="58" s="1"/>
  <c r="K67" i="56"/>
  <c r="K73" i="56" s="1"/>
  <c r="K31" i="51"/>
  <c r="K37" i="51" s="1"/>
  <c r="K80" i="51" s="1"/>
  <c r="I130" i="9"/>
  <c r="I132" i="9" s="1"/>
  <c r="I117" i="9"/>
  <c r="I118" i="9"/>
  <c r="G35" i="59"/>
  <c r="K113" i="51"/>
  <c r="K131" i="51" s="1"/>
  <c r="J82" i="58"/>
  <c r="J119" i="58"/>
  <c r="K99" i="58"/>
  <c r="K104" i="58" s="1"/>
  <c r="K83" i="57"/>
  <c r="K81" i="57"/>
  <c r="K93" i="57"/>
  <c r="K80" i="57"/>
  <c r="K92" i="57"/>
  <c r="K79" i="57"/>
  <c r="K91" i="57"/>
  <c r="K127" i="57"/>
  <c r="K90" i="57"/>
  <c r="K78" i="57"/>
  <c r="K89" i="57"/>
  <c r="K43" i="57"/>
  <c r="K88" i="57"/>
  <c r="K42" i="57"/>
  <c r="J74" i="57"/>
  <c r="K61" i="57"/>
  <c r="K67" i="57" s="1"/>
  <c r="K73" i="57" s="1"/>
  <c r="J82" i="57"/>
  <c r="K82" i="57" s="1"/>
  <c r="J119" i="57"/>
  <c r="K99" i="57"/>
  <c r="K104" i="57" s="1"/>
  <c r="J84" i="56"/>
  <c r="J82" i="56"/>
  <c r="K31" i="56"/>
  <c r="K34" i="56" s="1"/>
  <c r="K83" i="51"/>
  <c r="K81" i="51"/>
  <c r="K93" i="51"/>
  <c r="K92" i="51"/>
  <c r="K79" i="51"/>
  <c r="K91" i="51"/>
  <c r="K43" i="51"/>
  <c r="K127" i="51"/>
  <c r="K90" i="51"/>
  <c r="K78" i="51"/>
  <c r="K89" i="51"/>
  <c r="K88" i="51"/>
  <c r="K42" i="51"/>
  <c r="J74" i="51"/>
  <c r="K61" i="51"/>
  <c r="K67" i="51" s="1"/>
  <c r="K73" i="51" s="1"/>
  <c r="J82" i="51"/>
  <c r="J84" i="51" s="1"/>
  <c r="J119" i="51"/>
  <c r="J56" i="9"/>
  <c r="K37" i="9"/>
  <c r="K61" i="9"/>
  <c r="K67" i="9" s="1"/>
  <c r="K73" i="9" s="1"/>
  <c r="J119" i="9"/>
  <c r="K33" i="58" l="1"/>
  <c r="K37" i="58" s="1"/>
  <c r="K44" i="57"/>
  <c r="K71" i="57" s="1"/>
  <c r="K99" i="51"/>
  <c r="K104" i="51" s="1"/>
  <c r="J84" i="58"/>
  <c r="K84" i="57"/>
  <c r="K129" i="57" s="1"/>
  <c r="J84" i="57"/>
  <c r="K74" i="57"/>
  <c r="K128" i="57" s="1"/>
  <c r="K94" i="57"/>
  <c r="K103" i="57" s="1"/>
  <c r="K105" i="57" s="1"/>
  <c r="K33" i="56"/>
  <c r="K99" i="56"/>
  <c r="K104" i="56" s="1"/>
  <c r="K37" i="56"/>
  <c r="K94" i="51"/>
  <c r="K103" i="51" s="1"/>
  <c r="K82" i="51"/>
  <c r="K84" i="51" s="1"/>
  <c r="K129" i="51" s="1"/>
  <c r="K44" i="51"/>
  <c r="K71" i="51" s="1"/>
  <c r="K74" i="51" s="1"/>
  <c r="K128" i="51" s="1"/>
  <c r="K83" i="9"/>
  <c r="K93" i="9"/>
  <c r="K80" i="9"/>
  <c r="K81" i="9"/>
  <c r="K92" i="9"/>
  <c r="K79" i="9"/>
  <c r="K91" i="9"/>
  <c r="K127" i="9"/>
  <c r="K90" i="9"/>
  <c r="K78" i="9"/>
  <c r="K42" i="9"/>
  <c r="K44" i="9" s="1"/>
  <c r="K71" i="9" s="1"/>
  <c r="K74" i="9" s="1"/>
  <c r="K128" i="9" s="1"/>
  <c r="K89" i="9"/>
  <c r="K43" i="9"/>
  <c r="K88" i="9"/>
  <c r="K99" i="9"/>
  <c r="K104" i="9" s="1"/>
  <c r="J82" i="9"/>
  <c r="J84" i="9" s="1"/>
  <c r="J72" i="9"/>
  <c r="J74" i="9" s="1"/>
  <c r="K105" i="51" l="1"/>
  <c r="K130" i="51" s="1"/>
  <c r="K132" i="51" s="1"/>
  <c r="K81" i="58"/>
  <c r="K80" i="58"/>
  <c r="K127" i="58"/>
  <c r="K90" i="58"/>
  <c r="K78" i="58"/>
  <c r="K88" i="58"/>
  <c r="K42" i="58"/>
  <c r="K93" i="58"/>
  <c r="K43" i="58"/>
  <c r="K83" i="58"/>
  <c r="K89" i="58"/>
  <c r="K91" i="58"/>
  <c r="K92" i="58"/>
  <c r="K79" i="58"/>
  <c r="K82" i="58"/>
  <c r="K130" i="57"/>
  <c r="K132" i="57" s="1"/>
  <c r="K117" i="57"/>
  <c r="K118" i="57" s="1"/>
  <c r="K117" i="51"/>
  <c r="K118" i="51" s="1"/>
  <c r="K83" i="56"/>
  <c r="K82" i="56"/>
  <c r="K81" i="56"/>
  <c r="K93" i="56"/>
  <c r="K80" i="56"/>
  <c r="K92" i="56"/>
  <c r="K79" i="56"/>
  <c r="K89" i="56"/>
  <c r="K91" i="56"/>
  <c r="K43" i="56"/>
  <c r="K127" i="56"/>
  <c r="K90" i="56"/>
  <c r="K78" i="56"/>
  <c r="K88" i="56"/>
  <c r="K42" i="56"/>
  <c r="K82" i="9"/>
  <c r="K84" i="9" s="1"/>
  <c r="K129" i="9" s="1"/>
  <c r="K94" i="9"/>
  <c r="K103" i="9" s="1"/>
  <c r="K105" i="9" s="1"/>
  <c r="K84" i="58" l="1"/>
  <c r="K129" i="58" s="1"/>
  <c r="K94" i="58"/>
  <c r="K103" i="58" s="1"/>
  <c r="K105" i="58" s="1"/>
  <c r="K44" i="58"/>
  <c r="K71" i="58" s="1"/>
  <c r="K74" i="58" s="1"/>
  <c r="K128" i="58" s="1"/>
  <c r="K130" i="9"/>
  <c r="K117" i="9"/>
  <c r="K118" i="9" s="1"/>
  <c r="K132" i="9"/>
  <c r="K44" i="56"/>
  <c r="K71" i="56" s="1"/>
  <c r="K74" i="56" s="1"/>
  <c r="K128" i="56" s="1"/>
  <c r="K94" i="56"/>
  <c r="K103" i="56" s="1"/>
  <c r="K105" i="56" s="1"/>
  <c r="K84" i="56"/>
  <c r="K129" i="56" s="1"/>
  <c r="K130" i="58" l="1"/>
  <c r="K132" i="58" s="1"/>
  <c r="K117" i="58"/>
  <c r="K118" i="58" s="1"/>
  <c r="K130" i="56"/>
  <c r="K132" i="56" s="1"/>
  <c r="K117" i="56"/>
  <c r="K118" i="56" l="1"/>
  <c r="I30" i="59" l="1"/>
  <c r="K30" i="59"/>
  <c r="M30" i="59"/>
  <c r="O30" i="59"/>
  <c r="I31" i="59"/>
  <c r="K31" i="59"/>
  <c r="M31" i="59"/>
  <c r="O31" i="59"/>
  <c r="I32" i="59"/>
  <c r="K32" i="59"/>
  <c r="M32" i="59"/>
  <c r="O32" i="59"/>
  <c r="I33" i="59"/>
  <c r="K33" i="59"/>
  <c r="M33" i="59"/>
  <c r="O33" i="59"/>
  <c r="I34" i="59"/>
  <c r="K34" i="59"/>
  <c r="M34" i="59"/>
  <c r="O34" i="59"/>
  <c r="M35" i="59"/>
  <c r="O35" i="59"/>
  <c r="G5" i="50"/>
  <c r="H5" i="50"/>
  <c r="I5" i="50"/>
  <c r="J5" i="50"/>
  <c r="K5" i="50"/>
  <c r="L5" i="50"/>
  <c r="G6" i="50"/>
  <c r="H6" i="50"/>
  <c r="I6" i="50"/>
  <c r="J6" i="50"/>
  <c r="K6" i="50"/>
  <c r="L6" i="50"/>
  <c r="G7" i="50"/>
  <c r="H7" i="50"/>
  <c r="I7" i="50"/>
  <c r="J7" i="50"/>
  <c r="K7" i="50"/>
  <c r="L7" i="50"/>
  <c r="G8" i="50"/>
  <c r="H8" i="50"/>
  <c r="I8" i="50"/>
  <c r="J8" i="50"/>
  <c r="K8" i="50"/>
  <c r="L8" i="50"/>
  <c r="G9" i="50"/>
  <c r="H9" i="50"/>
  <c r="I9" i="50"/>
  <c r="J9" i="50"/>
  <c r="K9" i="50"/>
  <c r="L9" i="50"/>
  <c r="H10" i="50"/>
  <c r="I10" i="50"/>
  <c r="K10" i="50"/>
  <c r="L10" i="50"/>
  <c r="K16" i="50"/>
  <c r="L16" i="50"/>
  <c r="M16" i="50"/>
  <c r="M17" i="50"/>
  <c r="K18" i="50"/>
  <c r="L18" i="50"/>
  <c r="M18" i="50"/>
  <c r="K19" i="50"/>
  <c r="L19" i="50"/>
  <c r="M19" i="50"/>
  <c r="K20" i="50"/>
  <c r="L20" i="50"/>
  <c r="M20" i="50"/>
  <c r="K21" i="50"/>
  <c r="L21" i="50"/>
  <c r="M21" i="50"/>
  <c r="K22" i="50"/>
  <c r="L22" i="50"/>
  <c r="M22" i="50"/>
  <c r="K23" i="50"/>
  <c r="L23" i="50"/>
  <c r="M23" i="50"/>
  <c r="K24" i="50"/>
  <c r="L24" i="50"/>
  <c r="M24" i="50"/>
  <c r="K25" i="50"/>
  <c r="L25" i="50"/>
  <c r="M25" i="50"/>
  <c r="K26" i="50"/>
  <c r="L26" i="50"/>
  <c r="M26" i="50"/>
  <c r="K27" i="50"/>
  <c r="L27" i="50"/>
  <c r="M27" i="50"/>
  <c r="K28" i="50"/>
  <c r="L28" i="50"/>
  <c r="M28" i="50"/>
  <c r="K29" i="50"/>
  <c r="L29" i="50"/>
  <c r="M29" i="50"/>
  <c r="M30" i="50"/>
  <c r="M31" i="50"/>
  <c r="I119" i="57"/>
  <c r="K119" i="57"/>
  <c r="I120" i="57"/>
  <c r="K120" i="57"/>
  <c r="I121" i="57"/>
  <c r="K121" i="57"/>
  <c r="I123" i="57"/>
  <c r="K123" i="57"/>
  <c r="I133" i="57"/>
  <c r="K133" i="57"/>
  <c r="I134" i="57"/>
  <c r="K134" i="57"/>
  <c r="I135" i="57"/>
  <c r="K135" i="57"/>
  <c r="I119" i="9"/>
  <c r="K119" i="9"/>
  <c r="I120" i="9"/>
  <c r="K120" i="9"/>
  <c r="I121" i="9"/>
  <c r="K121" i="9"/>
  <c r="I123" i="9"/>
  <c r="K123" i="9"/>
  <c r="I133" i="9"/>
  <c r="K133" i="9"/>
  <c r="I134" i="9"/>
  <c r="K134" i="9"/>
  <c r="I135" i="9"/>
  <c r="K135" i="9"/>
  <c r="I119" i="51"/>
  <c r="K119" i="51"/>
  <c r="I120" i="51"/>
  <c r="K120" i="51"/>
  <c r="I121" i="51"/>
  <c r="K121" i="51"/>
  <c r="I123" i="51"/>
  <c r="K123" i="51"/>
  <c r="I133" i="51"/>
  <c r="K133" i="51"/>
  <c r="I134" i="51"/>
  <c r="K134" i="51"/>
  <c r="I135" i="51"/>
  <c r="K135" i="51"/>
  <c r="I119" i="56"/>
  <c r="K119" i="56"/>
  <c r="I120" i="56"/>
  <c r="K120" i="56"/>
  <c r="I121" i="56"/>
  <c r="K121" i="56"/>
  <c r="I123" i="56"/>
  <c r="K123" i="56"/>
  <c r="I133" i="56"/>
  <c r="K133" i="56"/>
  <c r="I134" i="56"/>
  <c r="K134" i="56"/>
  <c r="I135" i="56"/>
  <c r="K135" i="56"/>
  <c r="I119" i="58"/>
  <c r="K119" i="58"/>
  <c r="I120" i="58"/>
  <c r="K120" i="58"/>
  <c r="I121" i="58"/>
  <c r="K121" i="58"/>
  <c r="I123" i="58"/>
  <c r="K123" i="58"/>
  <c r="I133" i="58"/>
  <c r="K133" i="58"/>
  <c r="I134" i="58"/>
  <c r="K134" i="58"/>
  <c r="I135" i="58"/>
  <c r="K135" i="5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cpu08</author>
    <author>cpu04</author>
  </authors>
  <commentList>
    <comment ref="C58" authorId="0" shapeId="0" xr:uid="{8B2CCD29-6AFC-4311-9384-16F7C7CDB450}">
      <text>
        <r>
          <rPr>
            <b/>
            <sz val="10"/>
            <color indexed="81"/>
            <rFont val="Segoe UI"/>
            <family val="2"/>
          </rPr>
          <t>cpu08:</t>
        </r>
        <r>
          <rPr>
            <sz val="10"/>
            <color indexed="81"/>
            <rFont val="Segoe UI"/>
            <family val="2"/>
          </rPr>
          <t xml:space="preserve">
Esses equipamentos estão disponíveis no estoque da empresa e será colocado à disposição da ANAC, durante a vigência do contrato.</t>
        </r>
      </text>
    </comment>
    <comment ref="C59" authorId="0" shapeId="0" xr:uid="{3D72BBB8-61B9-45E9-A367-2A7EF96B451A}">
      <text>
        <r>
          <rPr>
            <b/>
            <sz val="10"/>
            <color indexed="81"/>
            <rFont val="Segoe UI"/>
            <family val="2"/>
          </rPr>
          <t>cpu08:</t>
        </r>
        <r>
          <rPr>
            <sz val="10"/>
            <color indexed="81"/>
            <rFont val="Segoe UI"/>
            <family val="2"/>
          </rPr>
          <t xml:space="preserve">
Esses equipamentos estão disponíveis no estoque da empresa e será colocado à disposição da ANAC, durante a vigência do contrato.</t>
        </r>
      </text>
    </comment>
    <comment ref="D80" authorId="1" shapeId="0" xr:uid="{67460CD7-BF9A-4E08-946C-BC93219829BC}">
      <text>
        <r>
          <rPr>
            <b/>
            <sz val="9"/>
            <color indexed="81"/>
            <rFont val="Segoe UI"/>
            <family val="2"/>
          </rPr>
          <t>cpu04:</t>
        </r>
        <r>
          <rPr>
            <sz val="9"/>
            <color indexed="81"/>
            <rFont val="Segoe UI"/>
            <family val="2"/>
          </rPr>
          <t xml:space="preserve">
Manutenção anual do armamento
</t>
        </r>
      </text>
    </comment>
  </commentList>
</comments>
</file>

<file path=xl/sharedStrings.xml><?xml version="1.0" encoding="utf-8"?>
<sst xmlns="http://schemas.openxmlformats.org/spreadsheetml/2006/main" count="1487" uniqueCount="334">
  <si>
    <t>PLANILHA DE CUSTOS E FORMAÇÃO DE PREÇOS</t>
  </si>
  <si>
    <t>Nº Processo</t>
  </si>
  <si>
    <t>Licitação Nº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</si>
  <si>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</si>
  <si>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</si>
  <si>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</si>
  <si>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</si>
  <si>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</si>
  <si>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</si>
  <si>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Acordo, Convenção ou Sentença Normativa em Dissídio Coletivo</t>
  </si>
  <si>
    <t>D</t>
  </si>
  <si>
    <t>E</t>
  </si>
  <si>
    <t>F</t>
  </si>
  <si>
    <t>Nº de meses de execução contratual</t>
  </si>
  <si>
    <t>Identificação do Serviço</t>
  </si>
  <si>
    <t>Tipo de Serviço</t>
  </si>
  <si>
    <t>Dados complementares para composição dos custos referentes à mão-de-obra</t>
  </si>
  <si>
    <t>MÓDULO 1: COMPOSIÇÃO DA REMUNERAÇÃO</t>
  </si>
  <si>
    <t>Composição da Remuneração</t>
  </si>
  <si>
    <t>%</t>
  </si>
  <si>
    <t>Valor (R$)</t>
  </si>
  <si>
    <t>Total da Remuneração</t>
  </si>
  <si>
    <t>Benefícios Mensais e Diários</t>
  </si>
  <si>
    <t>Insumos Diversos</t>
  </si>
  <si>
    <t>4.1</t>
  </si>
  <si>
    <t>INSS</t>
  </si>
  <si>
    <t>INCRA</t>
  </si>
  <si>
    <t>Salário Educação</t>
  </si>
  <si>
    <t>FGTS</t>
  </si>
  <si>
    <t>G</t>
  </si>
  <si>
    <t>H</t>
  </si>
  <si>
    <t>SEBRAE</t>
  </si>
  <si>
    <t>4.2</t>
  </si>
  <si>
    <t>Provisão para Rescisão</t>
  </si>
  <si>
    <t>Módulo 4 - Encargos Sociais e Trabalhistas</t>
  </si>
  <si>
    <t>Total</t>
  </si>
  <si>
    <t>Tributos</t>
  </si>
  <si>
    <t>Módulo 1 - Composição da Remuneração</t>
  </si>
  <si>
    <t>Unidade de Medida</t>
  </si>
  <si>
    <t>MÃO-DE-OBRA</t>
  </si>
  <si>
    <t>MÃO-DE-OBRA VINCULADA À EXECUÇÃO CONTRATUAL</t>
  </si>
  <si>
    <t>Tipo de serviço (mesmo serviço com características distintas)</t>
  </si>
  <si>
    <t>Salário normativo da categoria profissional</t>
  </si>
  <si>
    <t>Categoria profissional (vinculada à execução contratual)</t>
  </si>
  <si>
    <t>Data-base da categoria (dia/ano)</t>
  </si>
  <si>
    <t>Salário base</t>
  </si>
  <si>
    <t>Adicional de periculosidade</t>
  </si>
  <si>
    <t>Adicional de insalubridade</t>
  </si>
  <si>
    <t>Adicional noturno</t>
  </si>
  <si>
    <t>Outros (especificar)</t>
  </si>
  <si>
    <t>Custos Indiretos, Tributos e Lucro</t>
  </si>
  <si>
    <t>Mão-de-obra vinculada à execução contratual (valor por empregado)</t>
  </si>
  <si>
    <t>Valor total por empregado</t>
  </si>
  <si>
    <t>Posto de serviço</t>
  </si>
  <si>
    <t>Ausências Legais</t>
  </si>
  <si>
    <t>Incidência do FGTS sobre aviso prévio indenizado</t>
  </si>
  <si>
    <t xml:space="preserve">Transporte </t>
  </si>
  <si>
    <t>Brasília - DF</t>
  </si>
  <si>
    <t>Valor Unitário</t>
  </si>
  <si>
    <t>Posto de Serviço</t>
  </si>
  <si>
    <t>Qtd de Postos</t>
  </si>
  <si>
    <t>Valor Mensal</t>
  </si>
  <si>
    <t>Valor Anual</t>
  </si>
  <si>
    <t xml:space="preserve">13º Salário </t>
  </si>
  <si>
    <t>Dedução legal de 6% sobre salário</t>
  </si>
  <si>
    <t>Classificação Brasileira de Ocupações (CBO)</t>
  </si>
  <si>
    <t>Adicional de hora noturna reduzida</t>
  </si>
  <si>
    <t>Adicional de hora extra no feriado trabalhado</t>
  </si>
  <si>
    <t>Módulo 2 - Encargos e Benefícios Anuais, Mensais e Diários</t>
  </si>
  <si>
    <t>Submódulo 2.1 - 13º (décimo terceiro) Salário, Férias e Adicional de Férias</t>
  </si>
  <si>
    <t>2.1</t>
  </si>
  <si>
    <t>13º (décimo terceiro) Salário</t>
  </si>
  <si>
    <t>Férias e Adicional de Férias</t>
  </si>
  <si>
    <t xml:space="preserve">Total </t>
  </si>
  <si>
    <t>Submódulo 2.2 - Encargos Previdenciários (GPS), Fundo de Garantia por Tempo de Serviço (FGTS) e outras contribuições</t>
  </si>
  <si>
    <t>2.2</t>
  </si>
  <si>
    <t>GPS, FGTS e outras contribuições</t>
  </si>
  <si>
    <t>SESC ou SESI</t>
  </si>
  <si>
    <t>SENAI - SENAC</t>
  </si>
  <si>
    <t>Submódulo 2.3 - Benefícios Mensais e Diários</t>
  </si>
  <si>
    <t>2.3</t>
  </si>
  <si>
    <t>Quadro-Resumo do Módulo 2 - Encargos e Benefícios anuais, mensais e diários</t>
  </si>
  <si>
    <t>13º (décimo terceiro) Salário, Férias e Adicional de Férias</t>
  </si>
  <si>
    <t>Módulo 3 - Provisão para Rescisão</t>
  </si>
  <si>
    <t>Aviso prévio indenizado</t>
  </si>
  <si>
    <t>Multa do FGTS e contribuição social sobre o aviso prévio indenizado</t>
  </si>
  <si>
    <t>Aviso prévio trabalhado</t>
  </si>
  <si>
    <t>Incidência dos encargos do submódulo 2.2 sobre o aviso prévio trabalhado</t>
  </si>
  <si>
    <t>Multa do FGTS e contribuição social sobre o aviso prévio trabalhado</t>
  </si>
  <si>
    <t>Módulo 4 - Custo de Reposição do Profissional Ausente</t>
  </si>
  <si>
    <t>Quadro-Resumo do Módulo 4 - Custo de Reposição do Profissional Ausente</t>
  </si>
  <si>
    <t>Módulo 5 - Insumos Diversos</t>
  </si>
  <si>
    <t>Módulo 6 - Custos Indiretos, Tributos e Lucro</t>
  </si>
  <si>
    <t>Custos Indiretos</t>
  </si>
  <si>
    <t>Lucro</t>
  </si>
  <si>
    <t>C.1 Tributos Federais (PIS e COFINS)</t>
  </si>
  <si>
    <t>C.2 Tributos Estaduais (ISSQN)</t>
  </si>
  <si>
    <t>C.3 Tributos Municipais (especificar)</t>
  </si>
  <si>
    <t>2. QUADRO-RESUMO DO CUSTO POR EMPREGADO</t>
  </si>
  <si>
    <t>Módulo 6 – Custos Indiretos, Tributos e Lucro</t>
  </si>
  <si>
    <t>Custo de reposição do profissional ausente</t>
  </si>
  <si>
    <t>Eduardo Quaresma Hage</t>
  </si>
  <si>
    <t>Gerente Comercial</t>
  </si>
  <si>
    <t>Mensal</t>
  </si>
  <si>
    <t>Seguro de vida em grupo / Auxílio funeral</t>
  </si>
  <si>
    <t>Substituto nas ausências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</si>
  <si>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</si>
  <si>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</si>
  <si>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</si>
  <si>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</si>
  <si>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Submódulo 4.2 - Substituto na Intrajornada</t>
  </si>
  <si>
    <t>Substituto na Intrajornada</t>
  </si>
  <si>
    <t>Substituto na cobertura de intervalo para repouso ou alimentação</t>
  </si>
  <si>
    <t>Substituto nas Ausências Legais</t>
  </si>
  <si>
    <t>Qtd de Vigilantes</t>
  </si>
  <si>
    <t>Item</t>
  </si>
  <si>
    <t>5173-30</t>
  </si>
  <si>
    <t>Fundo social e odontológico</t>
  </si>
  <si>
    <t>Fundo para indenização decorrente de aposentadoria por invalidez por doença</t>
  </si>
  <si>
    <t>VALOR DO POSTO</t>
  </si>
  <si>
    <t>ÁGIL EMPRESA DE VIGILÂNCIA LTDA</t>
  </si>
  <si>
    <t xml:space="preserve">Material de Consumo Mensal, Equipamentos e Uniformes a serem Disponibilizados </t>
  </si>
  <si>
    <t xml:space="preserve">Vigilantes  </t>
  </si>
  <si>
    <t xml:space="preserve">Unidade </t>
  </si>
  <si>
    <t>Preço Unitário</t>
  </si>
  <si>
    <t>Qtd  anual</t>
  </si>
  <si>
    <t>Custo Anual</t>
  </si>
  <si>
    <t>unidade</t>
  </si>
  <si>
    <t>par</t>
  </si>
  <si>
    <t>Especificação</t>
  </si>
  <si>
    <t>Valor unitário</t>
  </si>
  <si>
    <t xml:space="preserve">Quantidade </t>
  </si>
  <si>
    <t xml:space="preserve">Valor total </t>
  </si>
  <si>
    <t>Depreciação (meses)</t>
  </si>
  <si>
    <t>Valor total mensal</t>
  </si>
  <si>
    <t xml:space="preserve">Valor por funcionário </t>
  </si>
  <si>
    <t>Quantidade total a contratar  (em função da unidade de medida)</t>
  </si>
  <si>
    <t>Vigilância desarmada diurna, 12 x 36 horas, de segunda a sexta-feira - Sede I</t>
  </si>
  <si>
    <t>Vigilância desarmada diurna, 12 x 36 horas, de segunda a domingo - Sede I</t>
  </si>
  <si>
    <t>Vigilância armada noturna, 12 x 36 horas, de segunda a domingo - Sede II</t>
  </si>
  <si>
    <t>Dia 19/08/2020 às 10:00 horas</t>
  </si>
  <si>
    <t>Vigilância desarmada</t>
  </si>
  <si>
    <t>Vigilância desarmada diurna, 12x36 horas, de segunda a sexta-feira - Sede I</t>
  </si>
  <si>
    <t>Vigilância desarmada diurna, 12x36 horas, de segunda a domingo - Sede I</t>
  </si>
  <si>
    <t>Vigilante</t>
  </si>
  <si>
    <t>Vigilância desarmada noturna, 12 x 36 horas, de segunda a domingo - Sede I</t>
  </si>
  <si>
    <t>Vigilância armada diurna, 12 x 36 horas, de segunda a domingo - Sede II</t>
  </si>
  <si>
    <t>Vigilância armada</t>
  </si>
  <si>
    <t xml:space="preserve">Adicional noturno </t>
  </si>
  <si>
    <t xml:space="preserve">SAT </t>
  </si>
  <si>
    <t>Outros (incidência do submódulo 2.2 sobre o submódulo 4.1)</t>
  </si>
  <si>
    <t>1º/01/2024</t>
  </si>
  <si>
    <t>Vigilância diurna desarmada 2ª a 6ª</t>
  </si>
  <si>
    <t>QUADRO RESUMO</t>
  </si>
  <si>
    <t>ÁGIL EMPRESA DE VIGILÂNCIA LTDA.</t>
  </si>
  <si>
    <t>PROPOSTA COMERCIAL</t>
  </si>
  <si>
    <t>QUADRO RESUMO DA PRESTAÇÃO DE SERVIÇOS</t>
  </si>
  <si>
    <t>Descrição</t>
  </si>
  <si>
    <t>Unid. de medida</t>
  </si>
  <si>
    <t>Qtd Posto</t>
  </si>
  <si>
    <t>Qtd Profissionais</t>
  </si>
  <si>
    <t>Valor unitário Mensal</t>
  </si>
  <si>
    <t>Valor unitário anual</t>
  </si>
  <si>
    <t>Valor mensal Total</t>
  </si>
  <si>
    <t>Valor Total Anual</t>
  </si>
  <si>
    <t>Posto</t>
  </si>
  <si>
    <t>TOTAL</t>
  </si>
  <si>
    <t>Brasília - DF, 18 de agosto de 2025</t>
  </si>
  <si>
    <t>À</t>
  </si>
  <si>
    <t>Agencia Nacional de Aviação Civil - ANC</t>
  </si>
  <si>
    <t>Pregão Eletrônico N° 90015/2025 - AGENCIA NACIONAL DE AVIACAO CIVIL - ANAC</t>
  </si>
  <si>
    <t>90015/2025</t>
  </si>
  <si>
    <t>00058.023630/2024-72</t>
  </si>
  <si>
    <t>Uniformes</t>
  </si>
  <si>
    <t xml:space="preserve">Materiais </t>
  </si>
  <si>
    <t xml:space="preserve">Depreciação dos Equipamentos </t>
  </si>
  <si>
    <t xml:space="preserve">Outros </t>
  </si>
  <si>
    <t>UNIFORME SEDE I</t>
  </si>
  <si>
    <t>CAMISA MANGA COMPRIDA</t>
  </si>
  <si>
    <t>CAMISETA DE ALGODÃO DE MANGA CURTA</t>
  </si>
  <si>
    <t>CINTO EM NYLON</t>
  </si>
  <si>
    <t xml:space="preserve">GRAVATA </t>
  </si>
  <si>
    <t>PAR DE MEIAS SOCIAL</t>
  </si>
  <si>
    <t>SAPATO SOCIAL</t>
  </si>
  <si>
    <t>CRACHÁ DE IDENTIFICAÇÃO</t>
  </si>
  <si>
    <t xml:space="preserve">CAPA PARA COLETE BALÍSTICO </t>
  </si>
  <si>
    <t>TERNO COM CALÇA</t>
  </si>
  <si>
    <t>UNIFORME SEDE II</t>
  </si>
  <si>
    <t>CALÇA</t>
  </si>
  <si>
    <t>CAMISA DE MANGA CURTA</t>
  </si>
  <si>
    <t>CINTO DE NYLON</t>
  </si>
  <si>
    <t xml:space="preserve">BOTA TÁTICA </t>
  </si>
  <si>
    <t xml:space="preserve">MEIAS </t>
  </si>
  <si>
    <t>QUEPE OU BONÉ COM EMBLEMA</t>
  </si>
  <si>
    <t>JAQUETA OU JAPONA PARA O FRIO</t>
  </si>
  <si>
    <t>CAPA PARA COLETE BALÍSTICO</t>
  </si>
  <si>
    <t>EQUIPAMENTO - SEDE I</t>
  </si>
  <si>
    <t>APARELHO CELULAR</t>
  </si>
  <si>
    <t>RÁDIO COMUNICADOR</t>
  </si>
  <si>
    <t>SISTEMA DE RONDA ELETRÔNICO - SEDE I (01 BASTÃO E 16 PONTOS MAGNÉTICOS)</t>
  </si>
  <si>
    <t xml:space="preserve">RELÓGIO DE PONTO ELETRÔNICO </t>
  </si>
  <si>
    <t>EQUIPAMENTO - SEDE II</t>
  </si>
  <si>
    <t xml:space="preserve">SISTEMA DE RONDA ELETRÔNICO - SEDE II (01 BASTÃO E 05 PONTOS MAGNÉTICOS) </t>
  </si>
  <si>
    <t>RELÓGIO DE PONTO ELETRÔNICO</t>
  </si>
  <si>
    <t>PACOTE DE DADOS</t>
  </si>
  <si>
    <t>APITO</t>
  </si>
  <si>
    <t>CORDÃO DE APITO</t>
  </si>
  <si>
    <t>LANTERNA RECARREGÁVEL mínimo 12 LEDs</t>
  </si>
  <si>
    <t>LIVRO DE OCORRÊNCIA</t>
  </si>
  <si>
    <t>CANETA</t>
  </si>
  <si>
    <t xml:space="preserve">COLETE BALÍSTICO </t>
  </si>
  <si>
    <t xml:space="preserve">APITO </t>
  </si>
  <si>
    <t>LANTERNA RECARREGÁVEL acima de 12 LEDS</t>
  </si>
  <si>
    <t>COLETE BALÍSTICO</t>
  </si>
  <si>
    <t>MUNIÇÃO PARA REVÓLVER CALIBRE 38</t>
  </si>
  <si>
    <t>CINTO DE COLDRE C/ BALEIRO</t>
  </si>
  <si>
    <t>CAPA DE CHUVA</t>
  </si>
  <si>
    <t>BOTAS PARA CHUVA</t>
  </si>
  <si>
    <t>MATERIAIS - SEDE I</t>
  </si>
  <si>
    <t>MATERIAIS - SEDE II</t>
  </si>
  <si>
    <t>Auxílio alimentação - 2% referente ao FAP</t>
  </si>
  <si>
    <t>REVÓLVER/PISTOLA CALIBRE 38</t>
  </si>
  <si>
    <t>Brasília-DF., 18 de agosto de 2025.</t>
  </si>
  <si>
    <t>Subtotal (A + B + C + D + E)</t>
  </si>
  <si>
    <t>MEMÓRIA DE CÁLCULO/JUSTIFICATIVAS</t>
  </si>
  <si>
    <t>MÓDULO 1 - COMPOSIÇÃO DA REMUNERAÇÃO</t>
  </si>
  <si>
    <t>Memória de Cálculo/Fundamento</t>
  </si>
  <si>
    <t>Salário Base</t>
  </si>
  <si>
    <t>Art. 457 e 458 da CLT. Piso salarial estabelecido na Cláusula Quarta, caput, da CCT DF000333/2024.</t>
  </si>
  <si>
    <t>Adicional de Periculosidade</t>
  </si>
  <si>
    <t>Lei 12.740/2012 e Cláusula Quarta, alínea e, da CCT DF000333/2024.</t>
  </si>
  <si>
    <t>Adicional de Insalubridade</t>
  </si>
  <si>
    <t>Salário Mínimo x 20%, salvo o estipulação espressa na CCT - Artigo 189 a 192 da CLT (10%, 20% ou 40%) da  NR 15  do M.T.E e a Lei nº 5.452 da CLT.</t>
  </si>
  <si>
    <t>Adicional Noturno</t>
  </si>
  <si>
    <t>CLT (arts. 8º, §2º, 59-A, §1º e 73, §§ 1º ao 5º) e Cláusula Décima da CCT DF000333/2024.</t>
  </si>
  <si>
    <t>Hora Noturna Adicional</t>
  </si>
  <si>
    <t>(Salário base + adicionais previstos em lei ou CCT, se houver) / 220h (conforme jornada de trabalho da categoria) x aliquota da hora noturna adicional x qte.  De horas noturna adicionais) - Artigo73 da CLT, súmula n° 60, II.</t>
  </si>
  <si>
    <t>Hora Extra no Feriado Trabalhado</t>
  </si>
  <si>
    <t>(Salário base + adicionais previstos em lei ou CCT, se houver) / 220h (conforme jornada de trabalho da categoria) x qte.  De horas diárias (limitada a 10horas, conforme súmula 444 TST) x qte. De feriados x parcela trabalhada / 12 meses) - Súmula 444 do TST.</t>
  </si>
  <si>
    <t>MÓDULO 2 - ENCARGOS E BENEFÍCIOS ANUAIS, MESNAIS E DIÁRIOS</t>
  </si>
  <si>
    <t>Submódulo 2.1 - 13º Salário, Férias e Adicional de Férias</t>
  </si>
  <si>
    <t>DADOS (%)</t>
  </si>
  <si>
    <t>Memória de Cálculo</t>
  </si>
  <si>
    <t>Conforme Lei º 4.090/1962 e Art. 7°, VIII, CF/88 - Percentual de provisão mensal: 1/12 = 8,33%</t>
  </si>
  <si>
    <t xml:space="preserve">Para órgão que trabalham com Conta Vinculada - Anexo XII da IN 05/2017                           (9,075%) + Adicional de Férias (3,025%)=12,10% </t>
  </si>
  <si>
    <t>Submódulo 2.2 - GPS, FGTS e Outras Contribuições</t>
  </si>
  <si>
    <t>(Art. 22, inciso I, da Lei nº 8.212/91)</t>
  </si>
  <si>
    <t>(Lei nº 9.424/96, 9.766/98, Decreto3.142/99 e Art.212§5º CF)</t>
  </si>
  <si>
    <t>SAT</t>
  </si>
  <si>
    <t>O SAT a depender do grau de risco do serviço irá variar entre 1%, para risco leve, de 2%, para risco médio, e de 3% de risco grave. Além disso, o SAT pode ser multiplicado por um índice (FAP) que varia entre 0,5 e 2, fazendo com que este item da planilha possa varia entre 0,5 e 6,00%. Para fins de elaboração de preço de referência, usou-se o percentual intermediário de 3,00%.</t>
  </si>
  <si>
    <t>(Art. 30 da Lei nº 8.036/90)</t>
  </si>
  <si>
    <t>(Decreto-Lei nº 8.621/46, Lei nº 2.318/86)</t>
  </si>
  <si>
    <t>(IN RFB nº 2110/2022) - Anexo III</t>
  </si>
  <si>
    <t>(Decreto-Lei nº 1.146/70/46, Lei nº 2.613/55)</t>
  </si>
  <si>
    <t>(Art. 15 da Lei  nº 8.036/90, Art.7º, §3º da CF)</t>
  </si>
  <si>
    <t>Transporte</t>
  </si>
  <si>
    <t>Artigo 4°. Inciso único, da lei n° 7.418/85 e art. 9° do Decreto n° 95.247/87 - Foi considerado o valor da passagem de R$ 5,50, definido no inciso III do Art. 3º do Decreto nº 40.381/2020 do Distrito Federal. O valor que não foi incorporado na planilha é devido ao desconto legal de 6% superar o valor do benefício.</t>
  </si>
  <si>
    <t>Auxilio-Refeição/Alimentação</t>
  </si>
  <si>
    <t>Artigo 458, §§ 2° e 3°, da CLT, lei n° 6.321/76, decreto n° 5/91 e CCT DF000333/2024, Cláusula Décima Segunda.</t>
  </si>
  <si>
    <t>Assistência Médica e Familiar</t>
  </si>
  <si>
    <t>PARECER n. 00004/2017/CPLC/PGF/AGU, de 27/03/2017</t>
  </si>
  <si>
    <t>Assistência Odontologica</t>
  </si>
  <si>
    <t>PARECER n. 00004/2017/CPLCIPGF/AGU, de 27/03/2017</t>
  </si>
  <si>
    <t>Auxílio creche</t>
  </si>
  <si>
    <t>Seguro de vida, invalidez e funeral (conforme previsto na CCT)</t>
  </si>
  <si>
    <t>Conforme Cláusula Décima Quinta da CCT DF000333/2024 e Caderno de Logística Vigilância 2014, item 5.3.5</t>
  </si>
  <si>
    <t>Total submódulo 2</t>
  </si>
  <si>
    <t>MÓDULO 3: PROVISÃO DE RESCISÃO</t>
  </si>
  <si>
    <t>PROVISÃO PARA RESCISÃO</t>
  </si>
  <si>
    <t>1 salário de aviso prévio indenizado ÷ 12 meses x 0,2% de incidência dos trabalhadores recebem o benefício por ano = 0,02%</t>
  </si>
  <si>
    <t>8% do FGTS x 0,02% do aviso prévio indenizado = 0,002%</t>
  </si>
  <si>
    <t>Multa sobre FGTS e contribuições sociais sobre o aviso prévio indenizado</t>
  </si>
  <si>
    <t>7 dias ÷ 30 dias ÷ 12 meses x 1% de incidência da equipe = 0,02%.</t>
  </si>
  <si>
    <t>Incidência dos encargos do submódulo 4.1 sobre aviso prévio trabalhado</t>
  </si>
  <si>
    <t>37,13% x 0,02% = 0,007%.</t>
  </si>
  <si>
    <t>Multa sobre FGTS e contribuições sociais sobre o aviso prévio trabalhado</t>
  </si>
  <si>
    <t>MÓDULO 4: CUSTO DE REPOSIÇÃO DO PROFISSIONAL AUSENTE</t>
  </si>
  <si>
    <t xml:space="preserve">SUBMÓDULO 4.1 - AUSÊNCIAS LEGAIS </t>
  </si>
  <si>
    <t>DADOS</t>
  </si>
  <si>
    <t>Substituto na cobertura de Férias</t>
  </si>
  <si>
    <t>Substituto na cobertura de Ausências Legais</t>
  </si>
  <si>
    <t>1 dia de ausência ÷ 30 dias ÷ 12 meses x 10% de incidência da equipe = 0,03%.</t>
  </si>
  <si>
    <t>Substituto na cobertura de Licença-Paternidade</t>
  </si>
  <si>
    <t>5 dias de licença ÷ 30 dias ÷ 12 meses x 1% de incidência da equipe = 0,01%.</t>
  </si>
  <si>
    <t xml:space="preserve">Substituto na cobertura de Ausência por acidente de trabalho
</t>
  </si>
  <si>
    <t>12 dias de afastamento ÷ 30 dias ÷ 12 meses x 1% de incidência da equipe = 0,03%.</t>
  </si>
  <si>
    <t>Substituto na cobertura de Afastamento Maternidade</t>
  </si>
  <si>
    <t>Férias referente ao período de afastamento 11,11% x 4 meses = 44,44% ÷ 12 meses = 3,70% x 0,30% de incidência sobre a equipe = 0,01%</t>
  </si>
  <si>
    <t>SUBTOTAL:</t>
  </si>
  <si>
    <t xml:space="preserve">SUBMÓDULO 4.2 - INTRAJORNADA </t>
  </si>
  <si>
    <t>Intervalo para Repouso ou Alimentação</t>
  </si>
  <si>
    <t xml:space="preserve"> Artigo 71 do Decreto de Lei nº 5.452 de 01 de Maio de 1943 - CLT.</t>
  </si>
  <si>
    <t>TOTAL MÓDULO 4:</t>
  </si>
  <si>
    <t xml:space="preserve"> 4: ENCARGOS SOCIAIS E TRABALHISTAS</t>
  </si>
  <si>
    <t>MÓDULO 2</t>
  </si>
  <si>
    <t>INCIDÊNCIA DO SUBMÓDLO 2.2 SOBRE O 2.1</t>
  </si>
  <si>
    <t>MÓDULO 3</t>
  </si>
  <si>
    <t>4.3</t>
  </si>
  <si>
    <t>MÓDULO 4</t>
  </si>
  <si>
    <t>4.6</t>
  </si>
  <si>
    <t>TOTAL DOS ENCARGOS SOCIAIS</t>
  </si>
  <si>
    <t>A multa do FGTS será depositada em conta vinculada. O percentual previsto pela IN 05/2017 é de 4%, portanto, a soma da Multa sobre FGTS e contribuições sociais sobre o aviso prévio trabalhado e Multa sobre FGTS e contribuições sociais sobre o aviso prévio indenizado resulta em 4%</t>
  </si>
  <si>
    <t>Declaramos que estamos de pleno acordo com todas as obrigações e responsabilidades, bem como todas as condições estabelecidas no Edital e seus Anexos.</t>
  </si>
  <si>
    <t>Declaramos que nos preços cotados estão incluídas todas as despesas que, direta ou indiretamente, fazem parte do presente objeto, tais como gastos da empresa com suporte técnico e administrativo, impostos, seguros, taxas, ou quaisquer outros que possam incidir sobre gastos da empresa, sem quaisquer acréscimos em virtude de expectativa inflacionária e deduzidos os descontos eventualmente concedidos.</t>
  </si>
  <si>
    <t>Assim sendo, o valor total da proposta é de R$ 1.541.049,60 (um milhão, quinhentos e quarenta e um mil, quarenta e nove reais e sessenta centavos).</t>
  </si>
  <si>
    <t>A presente proposta é baseada nas especificações, condições e prazos estabelecidos no edital de Pregão nº 90.015/2025 ANAC, os quais nos comprometemos a cumprir integralmente.</t>
  </si>
  <si>
    <r>
      <t>EMPRESA: Á</t>
    </r>
    <r>
      <rPr>
        <b/>
        <sz val="14"/>
        <color indexed="8"/>
        <rFont val="Calibri"/>
        <family val="2"/>
      </rPr>
      <t>GIL EMPRESA DE VIGILÂNCIA LTDA.</t>
    </r>
  </si>
  <si>
    <r>
      <t xml:space="preserve">CONTATO: </t>
    </r>
    <r>
      <rPr>
        <b/>
        <sz val="14"/>
        <color indexed="8"/>
        <rFont val="Calibri"/>
        <family val="2"/>
      </rPr>
      <t>EDUARDO QUARESMA HAGE</t>
    </r>
  </si>
  <si>
    <r>
      <t xml:space="preserve">CNPJ: </t>
    </r>
    <r>
      <rPr>
        <b/>
        <sz val="14"/>
        <color indexed="8"/>
        <rFont val="Calibri"/>
        <family val="2"/>
      </rPr>
      <t>72.619.976/0001-58</t>
    </r>
  </si>
  <si>
    <r>
      <t xml:space="preserve">TELEFONE: </t>
    </r>
    <r>
      <rPr>
        <b/>
        <sz val="14"/>
        <color indexed="8"/>
        <rFont val="Calibri"/>
        <family val="2"/>
      </rPr>
      <t>(61) 3403-0123</t>
    </r>
  </si>
  <si>
    <r>
      <t xml:space="preserve">ENDEREÇO: </t>
    </r>
    <r>
      <rPr>
        <b/>
        <sz val="14"/>
        <color indexed="8"/>
        <rFont val="Calibri"/>
        <family val="2"/>
      </rPr>
      <t>SOF NORTE QUADRA 04 CONJUNTO D LOJA 35</t>
    </r>
  </si>
  <si>
    <r>
      <t xml:space="preserve">E-MAIL: </t>
    </r>
    <r>
      <rPr>
        <b/>
        <sz val="14"/>
        <color indexed="8"/>
        <rFont val="Calibri"/>
        <family val="2"/>
      </rPr>
      <t>grupoagil@grupoagil.com.br</t>
    </r>
  </si>
  <si>
    <r>
      <t xml:space="preserve">DADOS BANCÁRIOS: </t>
    </r>
    <r>
      <rPr>
        <b/>
        <sz val="14"/>
        <color indexed="8"/>
        <rFont val="Calibri"/>
        <family val="2"/>
      </rPr>
      <t>CAIXA ECONÔMICA FEDERAL (104) AG: 4316 C/C: 000577053151-3</t>
    </r>
  </si>
  <si>
    <r>
      <t xml:space="preserve">VALIDADE DA PROPOSTA: </t>
    </r>
    <r>
      <rPr>
        <b/>
        <sz val="14"/>
        <color indexed="8"/>
        <rFont val="Calibri"/>
        <family val="2"/>
      </rPr>
      <t>60 DIAS</t>
    </r>
  </si>
  <si>
    <r>
      <t xml:space="preserve">Tendo examinado minuciosamente as normas específicas do termo de referência, cujo objeto </t>
    </r>
    <r>
      <rPr>
        <b/>
        <sz val="14"/>
        <color indexed="8"/>
        <rFont val="Calibri"/>
        <family val="2"/>
      </rPr>
      <t>Contratação de serviços contínuos de vigilância patrimonial orgânica armada e desarmada, diurna e noturna, nas dependências da Agência Nacional de Aviação Civil - ANAC em Brasília (Sede e Centro de Treinamento) a serem executados com regime de dedicação exclusiva de mão de obra, conforme condições, quantidades e exigências estabelecidas no Edital e seus anexos.</t>
    </r>
    <r>
      <rPr>
        <sz val="14"/>
        <color indexed="8"/>
        <rFont val="Calibri"/>
        <family val="2"/>
      </rPr>
      <t xml:space="preserve"> E após tomar conhecimento de todas as condições lá estabelecidas, passamos a formular a seguinte proposta:</t>
    </r>
  </si>
  <si>
    <r>
      <t xml:space="preserve">Nos preços indicados na planilha de preços acima estão incluídos todos os custos, benefícios, encargos, tributos e demais contribuições pertinentes. Declaramos conhecer a legislação de regência desta licitação e que os serviços/bens serão fornecidos de acordo com as condições estabelecidas no Edital e termo de referência, que conhecemos e aceitamos em todos os seus termos, inclusive quanto ao pagamento e outros. Declaramos, também, que nenhum direito a indenização ou a reembolso de quaisquer despesas nos será devido, caso a nossa proposta não seja aceita pelo </t>
    </r>
    <r>
      <rPr>
        <b/>
        <sz val="14"/>
        <color indexed="8"/>
        <rFont val="Calibri"/>
        <family val="2"/>
      </rPr>
      <t>ANAC</t>
    </r>
    <r>
      <rPr>
        <sz val="14"/>
        <color indexed="8"/>
        <rFont val="Calibri"/>
        <family val="2"/>
      </rPr>
      <t>, seja qual for o motivo.</t>
    </r>
  </si>
  <si>
    <r>
      <t xml:space="preserve">O Sr. </t>
    </r>
    <r>
      <rPr>
        <b/>
        <sz val="14"/>
        <color indexed="8"/>
        <rFont val="Calibri"/>
        <family val="2"/>
      </rPr>
      <t>Francisco José Soares Vianna</t>
    </r>
    <r>
      <rPr>
        <sz val="14"/>
        <color indexed="8"/>
        <rFont val="Calibri"/>
        <family val="2"/>
      </rPr>
      <t xml:space="preserve">, CPF nº 266.430.491-72 RG nº 653.063 – SSP/DF, como representante da empresa, assinará o Termo de Contrato. </t>
    </r>
  </si>
  <si>
    <t>CASSETETE (a empresa possui estoque suficiente para fornecimento sem custos)</t>
  </si>
  <si>
    <t>PORTA-CASSETETE (a empresa possui estoque suficiente para fornecimento sem custos)</t>
  </si>
  <si>
    <t>CASSETETE  (a empresa possui estoque suficiente para fornecimento sem custos)</t>
  </si>
  <si>
    <t>PORTA-CASSETETE  (a empresa possui estoque suficiente para fornecimento sem custos)</t>
  </si>
  <si>
    <t>1º/01/2025</t>
  </si>
  <si>
    <t>SESMT</t>
  </si>
  <si>
    <t>1ª repactuação</t>
  </si>
  <si>
    <t>valor retroativo</t>
  </si>
  <si>
    <t>valor ordinário</t>
  </si>
  <si>
    <t>valor total</t>
  </si>
  <si>
    <t>efeito financeiro 1º apostilamento</t>
  </si>
  <si>
    <t>período</t>
  </si>
  <si>
    <t>valor atual</t>
  </si>
  <si>
    <t>valor repactuado</t>
  </si>
  <si>
    <t>diferença</t>
  </si>
  <si>
    <t>até 19/9</t>
  </si>
  <si>
    <t>19/9-&gt;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</si>
</sst>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&quot;R$ &quot;#,##0.00"/>
    <numFmt numFmtId="167" formatCode="0.000%"/>
    <numFmt numFmtId="168" formatCode="_(&quot;R$&quot;* #,##0.00_);_(&quot;R$&quot;* \(#,##0.00\);_(&quot;R$&quot;* &quot;-&quot;??_);_(@_)"/>
    <numFmt numFmtId="169" formatCode="0.000"/>
    <numFmt numFmtId="170" formatCode="0.0000"/>
  </numFmts>
  <fonts count="32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name val="Arial"/>
      <family val="2"/>
    </font>
    <font>
      <sz val="10"/>
      <color indexed="81"/>
      <name val="Segoe UI"/>
      <family val="2"/>
    </font>
    <font>
      <b/>
      <sz val="10"/>
      <color indexed="81"/>
      <name val="Segoe UI"/>
      <family val="2"/>
    </font>
    <font>
      <b/>
      <sz val="14"/>
      <color indexed="8"/>
      <name val="Calibri"/>
      <family val="2"/>
    </font>
    <font>
      <sz val="14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  <font>
      <sz val="14"/>
      <name val="Calibri"/>
      <family val="2"/>
      <scheme val="minor"/>
    </font>
    <font>
      <sz val="14"/>
      <color rgb="FF99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242424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9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/>
    <xf numFmtId="164" fontId="9" fillId="0" borderId="0" applyFont="0" applyFill="0" applyBorder="0" applyAlignment="0" applyProtection="0"/>
    <xf numFmtId="0" fontId="4" fillId="0" borderId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165" fontId="9" fillId="0" borderId="0" applyFont="0" applyFill="0" applyBorder="0" applyAlignment="0" applyProtection="0"/>
  </cellStyleXfs>
  <cellXfs count="361">
    <xf numFmtId="0" fontId="0" fillId="0" borderId="0" xfId="0"/>
    <xf numFmtId="164" fontId="9" fillId="0" borderId="1" xfId="1" applyFont="1" applyFill="1" applyBorder="1" applyAlignment="1">
      <alignment vertical="center"/>
    </xf>
    <xf numFmtId="164" fontId="11" fillId="0" borderId="1" xfId="1" applyFont="1" applyFill="1" applyBorder="1" applyAlignment="1">
      <alignment horizontal="left" vertical="center" wrapText="1"/>
    </xf>
    <xf numFmtId="164" fontId="9" fillId="0" borderId="0" xfId="1" applyFont="1" applyFill="1" applyAlignment="1">
      <alignment horizontal="center" vertical="center" wrapText="1"/>
    </xf>
    <xf numFmtId="10" fontId="9" fillId="0" borderId="0" xfId="3" applyNumberFormat="1" applyFont="1" applyFill="1" applyAlignment="1">
      <alignment horizontal="center" vertical="center" wrapText="1"/>
    </xf>
    <xf numFmtId="164" fontId="12" fillId="0" borderId="0" xfId="1" applyFont="1" applyFill="1" applyAlignment="1">
      <alignment horizontal="center" vertical="center" wrapText="1"/>
    </xf>
    <xf numFmtId="164" fontId="12" fillId="0" borderId="1" xfId="1" applyFont="1" applyFill="1" applyBorder="1" applyAlignment="1">
      <alignment horizontal="left" vertical="center" wrapText="1"/>
    </xf>
    <xf numFmtId="10" fontId="11" fillId="0" borderId="1" xfId="3" applyNumberFormat="1" applyFont="1" applyFill="1" applyBorder="1" applyAlignment="1">
      <alignment horizontal="center" vertical="center" wrapText="1"/>
    </xf>
    <xf numFmtId="10" fontId="12" fillId="0" borderId="1" xfId="3" applyNumberFormat="1" applyFont="1" applyFill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left" vertical="center" wrapText="1"/>
    </xf>
    <xf numFmtId="10" fontId="12" fillId="0" borderId="1" xfId="0" applyNumberFormat="1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164" fontId="11" fillId="0" borderId="0" xfId="1" applyFont="1" applyFill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0" fontId="12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4" fontId="12" fillId="0" borderId="0" xfId="0" applyNumberFormat="1" applyFont="1" applyAlignment="1">
      <alignment horizontal="left" vertical="center" wrapText="1"/>
    </xf>
    <xf numFmtId="10" fontId="9" fillId="0" borderId="1" xfId="3" applyNumberFormat="1" applyFont="1" applyFill="1" applyBorder="1" applyAlignment="1">
      <alignment horizontal="center" vertical="center" wrapText="1"/>
    </xf>
    <xf numFmtId="164" fontId="9" fillId="0" borderId="1" xfId="1" applyFont="1" applyFill="1" applyBorder="1" applyAlignment="1">
      <alignment horizontal="left" vertical="center" wrapText="1"/>
    </xf>
    <xf numFmtId="10" fontId="0" fillId="0" borderId="1" xfId="0" applyNumberFormat="1" applyBorder="1" applyAlignment="1">
      <alignment horizontal="center" vertical="center" wrapText="1"/>
    </xf>
    <xf numFmtId="164" fontId="10" fillId="0" borderId="1" xfId="1" applyFont="1" applyFill="1" applyBorder="1" applyAlignment="1">
      <alignment horizontal="left" vertical="center" wrapText="1"/>
    </xf>
    <xf numFmtId="164" fontId="0" fillId="0" borderId="1" xfId="0" applyNumberFormat="1" applyBorder="1" applyAlignment="1">
      <alignment horizontal="left" vertical="center" wrapText="1"/>
    </xf>
    <xf numFmtId="164" fontId="10" fillId="0" borderId="1" xfId="0" applyNumberFormat="1" applyFont="1" applyBorder="1" applyAlignment="1">
      <alignment horizontal="left" vertical="center" wrapText="1"/>
    </xf>
    <xf numFmtId="164" fontId="10" fillId="0" borderId="0" xfId="1" applyFont="1" applyFill="1" applyAlignment="1">
      <alignment horizontal="center" vertical="center" wrapText="1"/>
    </xf>
    <xf numFmtId="164" fontId="9" fillId="0" borderId="1" xfId="1" applyFont="1" applyFill="1" applyBorder="1" applyAlignment="1">
      <alignment horizontal="center" vertical="center" wrapText="1"/>
    </xf>
    <xf numFmtId="164" fontId="10" fillId="0" borderId="1" xfId="1" applyFont="1" applyFill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2" xfId="0" applyBorder="1" applyAlignment="1">
      <alignment horizontal="justify" vertical="center" wrapText="1"/>
    </xf>
    <xf numFmtId="43" fontId="0" fillId="0" borderId="0" xfId="0" applyNumberFormat="1"/>
    <xf numFmtId="0" fontId="0" fillId="0" borderId="0" xfId="0" applyAlignment="1">
      <alignment horizontal="left" vertical="center" wrapText="1"/>
    </xf>
    <xf numFmtId="165" fontId="12" fillId="0" borderId="0" xfId="5" applyFont="1" applyFill="1" applyAlignment="1">
      <alignment wrapText="1"/>
    </xf>
    <xf numFmtId="0" fontId="0" fillId="0" borderId="0" xfId="0" applyAlignment="1">
      <alignment wrapText="1"/>
    </xf>
    <xf numFmtId="0" fontId="10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7" fontId="11" fillId="0" borderId="1" xfId="3" applyNumberFormat="1" applyFont="1" applyFill="1" applyBorder="1" applyAlignment="1">
      <alignment horizontal="center" vertical="center" wrapText="1"/>
    </xf>
    <xf numFmtId="0" fontId="13" fillId="0" borderId="3" xfId="0" applyFont="1" applyBorder="1"/>
    <xf numFmtId="0" fontId="13" fillId="0" borderId="0" xfId="0" applyFont="1"/>
    <xf numFmtId="0" fontId="13" fillId="0" borderId="4" xfId="0" applyFont="1" applyBorder="1"/>
    <xf numFmtId="0" fontId="13" fillId="0" borderId="0" xfId="0" applyFont="1" applyAlignment="1">
      <alignment horizontal="center"/>
    </xf>
    <xf numFmtId="0" fontId="14" fillId="2" borderId="5" xfId="0" applyFont="1" applyFill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4" fontId="16" fillId="0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4" fontId="15" fillId="0" borderId="1" xfId="1" applyNumberFormat="1" applyFont="1" applyFill="1" applyBorder="1" applyAlignment="1">
      <alignment horizontal="center" vertical="center" wrapText="1"/>
    </xf>
    <xf numFmtId="0" fontId="15" fillId="0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164" fontId="15" fillId="0" borderId="0" xfId="1" applyFont="1" applyFill="1" applyBorder="1" applyAlignment="1">
      <alignment horizontal="center" vertical="center" wrapText="1"/>
    </xf>
    <xf numFmtId="0" fontId="15" fillId="0" borderId="0" xfId="0" applyFont="1"/>
    <xf numFmtId="44" fontId="16" fillId="0" borderId="0" xfId="1" applyNumberFormat="1" applyFont="1" applyFill="1" applyAlignment="1">
      <alignment horizontal="center" vertical="center" wrapText="1"/>
    </xf>
    <xf numFmtId="44" fontId="16" fillId="0" borderId="0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164" fontId="18" fillId="0" borderId="1" xfId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68" fontId="18" fillId="0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168" fontId="17" fillId="0" borderId="1" xfId="0" applyNumberFormat="1" applyFont="1" applyBorder="1" applyAlignment="1">
      <alignment horizontal="center" vertical="center" wrapText="1"/>
    </xf>
    <xf numFmtId="164" fontId="16" fillId="0" borderId="0" xfId="1" applyFont="1" applyFill="1" applyBorder="1" applyAlignment="1">
      <alignment horizontal="center" vertical="center" wrapText="1"/>
    </xf>
    <xf numFmtId="164" fontId="9" fillId="0" borderId="0" xfId="1" applyFont="1" applyFill="1"/>
    <xf numFmtId="0" fontId="19" fillId="0" borderId="0" xfId="2" applyFont="1" applyAlignment="1">
      <alignment vertical="center"/>
    </xf>
    <xf numFmtId="0" fontId="20" fillId="0" borderId="0" xfId="0" applyFont="1" applyAlignment="1">
      <alignment vertical="center"/>
    </xf>
    <xf numFmtId="0" fontId="15" fillId="0" borderId="0" xfId="2" applyFont="1" applyAlignment="1">
      <alignment vertical="center"/>
    </xf>
    <xf numFmtId="0" fontId="15" fillId="0" borderId="1" xfId="2" applyFont="1" applyBorder="1" applyAlignment="1">
      <alignment horizontal="center" vertical="center"/>
    </xf>
    <xf numFmtId="0" fontId="15" fillId="0" borderId="1" xfId="2" applyFont="1" applyBorder="1" applyAlignment="1">
      <alignment horizontal="left" vertical="center"/>
    </xf>
    <xf numFmtId="169" fontId="19" fillId="0" borderId="0" xfId="2" applyNumberFormat="1" applyFont="1" applyAlignment="1">
      <alignment vertical="center"/>
    </xf>
    <xf numFmtId="0" fontId="16" fillId="0" borderId="1" xfId="2" applyFont="1" applyBorder="1" applyAlignment="1">
      <alignment horizontal="center" vertical="center"/>
    </xf>
    <xf numFmtId="10" fontId="15" fillId="0" borderId="1" xfId="4" applyNumberFormat="1" applyFont="1" applyFill="1" applyBorder="1" applyAlignment="1">
      <alignment horizontal="center" vertical="center"/>
    </xf>
    <xf numFmtId="2" fontId="15" fillId="0" borderId="1" xfId="2" applyNumberFormat="1" applyFont="1" applyBorder="1" applyAlignment="1">
      <alignment horizontal="left" vertical="center" wrapText="1"/>
    </xf>
    <xf numFmtId="10" fontId="19" fillId="0" borderId="0" xfId="2" applyNumberFormat="1" applyFont="1" applyAlignment="1">
      <alignment vertical="center"/>
    </xf>
    <xf numFmtId="0" fontId="19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left" vertical="center"/>
    </xf>
    <xf numFmtId="10" fontId="19" fillId="0" borderId="7" xfId="4" applyNumberFormat="1" applyFont="1" applyFill="1" applyBorder="1" applyAlignment="1">
      <alignment horizontal="center" vertical="center"/>
    </xf>
    <xf numFmtId="2" fontId="19" fillId="0" borderId="1" xfId="2" applyNumberFormat="1" applyFont="1" applyBorder="1" applyAlignment="1">
      <alignment horizontal="left" vertical="center" wrapText="1"/>
    </xf>
    <xf numFmtId="10" fontId="16" fillId="0" borderId="34" xfId="2" applyNumberFormat="1" applyFont="1" applyBorder="1" applyAlignment="1">
      <alignment horizontal="center" vertical="center"/>
    </xf>
    <xf numFmtId="2" fontId="19" fillId="0" borderId="8" xfId="2" applyNumberFormat="1" applyFont="1" applyBorder="1" applyAlignment="1">
      <alignment horizontal="left" vertical="center" wrapText="1"/>
    </xf>
    <xf numFmtId="0" fontId="19" fillId="0" borderId="1" xfId="2" applyFont="1" applyBorder="1" applyAlignment="1">
      <alignment vertical="center" wrapText="1"/>
    </xf>
    <xf numFmtId="10" fontId="19" fillId="0" borderId="9" xfId="2" applyNumberFormat="1" applyFont="1" applyBorder="1" applyAlignment="1">
      <alignment horizontal="center" vertical="center"/>
    </xf>
    <xf numFmtId="0" fontId="19" fillId="0" borderId="1" xfId="2" applyFont="1" applyBorder="1" applyAlignment="1">
      <alignment vertical="center"/>
    </xf>
    <xf numFmtId="2" fontId="15" fillId="0" borderId="0" xfId="2" applyNumberFormat="1" applyFont="1" applyAlignment="1">
      <alignment vertical="center"/>
    </xf>
    <xf numFmtId="10" fontId="16" fillId="0" borderId="1" xfId="2" applyNumberFormat="1" applyFont="1" applyBorder="1" applyAlignment="1">
      <alignment vertical="center"/>
    </xf>
    <xf numFmtId="49" fontId="15" fillId="0" borderId="1" xfId="2" applyNumberFormat="1" applyFont="1" applyBorder="1" applyAlignment="1">
      <alignment horizontal="left" vertical="center"/>
    </xf>
    <xf numFmtId="49" fontId="15" fillId="0" borderId="1" xfId="2" applyNumberFormat="1" applyFont="1" applyBorder="1" applyAlignment="1">
      <alignment horizontal="left" vertical="center" wrapText="1"/>
    </xf>
    <xf numFmtId="0" fontId="15" fillId="0" borderId="7" xfId="2" applyFont="1" applyBorder="1" applyAlignment="1">
      <alignment horizontal="center" vertical="center"/>
    </xf>
    <xf numFmtId="0" fontId="15" fillId="0" borderId="7" xfId="2" applyFont="1" applyBorder="1" applyAlignment="1">
      <alignment horizontal="left" vertical="center"/>
    </xf>
    <xf numFmtId="10" fontId="15" fillId="0" borderId="7" xfId="4" applyNumberFormat="1" applyFont="1" applyFill="1" applyBorder="1" applyAlignment="1">
      <alignment horizontal="center" vertical="center"/>
    </xf>
    <xf numFmtId="49" fontId="15" fillId="0" borderId="7" xfId="2" applyNumberFormat="1" applyFont="1" applyBorder="1" applyAlignment="1">
      <alignment horizontal="justify" vertical="center"/>
    </xf>
    <xf numFmtId="10" fontId="16" fillId="0" borderId="35" xfId="2" applyNumberFormat="1" applyFont="1" applyBorder="1" applyAlignment="1">
      <alignment horizontal="center" vertical="center"/>
    </xf>
    <xf numFmtId="0" fontId="15" fillId="0" borderId="34" xfId="2" applyFont="1" applyBorder="1" applyAlignment="1">
      <alignment vertical="center"/>
    </xf>
    <xf numFmtId="0" fontId="21" fillId="0" borderId="0" xfId="2" applyFont="1" applyAlignment="1">
      <alignment vertical="center"/>
    </xf>
    <xf numFmtId="10" fontId="16" fillId="0" borderId="0" xfId="2" applyNumberFormat="1" applyFont="1" applyAlignment="1">
      <alignment horizontal="right" vertical="center"/>
    </xf>
    <xf numFmtId="10" fontId="16" fillId="0" borderId="0" xfId="2" applyNumberFormat="1" applyFont="1" applyAlignment="1">
      <alignment horizontal="center" vertical="center"/>
    </xf>
    <xf numFmtId="4" fontId="16" fillId="0" borderId="0" xfId="2" applyNumberFormat="1" applyFont="1" applyAlignment="1">
      <alignment horizontal="center" vertical="center"/>
    </xf>
    <xf numFmtId="0" fontId="15" fillId="0" borderId="1" xfId="2" applyFont="1" applyBorder="1" applyAlignment="1">
      <alignment horizontal="left" vertical="center" wrapText="1"/>
    </xf>
    <xf numFmtId="0" fontId="15" fillId="0" borderId="7" xfId="2" applyFont="1" applyBorder="1" applyAlignment="1">
      <alignment horizontal="left" vertical="center" wrapText="1"/>
    </xf>
    <xf numFmtId="10" fontId="16" fillId="0" borderId="36" xfId="2" applyNumberFormat="1" applyFont="1" applyBorder="1" applyAlignment="1">
      <alignment horizontal="center" vertical="center"/>
    </xf>
    <xf numFmtId="0" fontId="16" fillId="0" borderId="0" xfId="2" applyFont="1" applyAlignment="1">
      <alignment horizontal="left" vertical="center"/>
    </xf>
    <xf numFmtId="0" fontId="16" fillId="0" borderId="0" xfId="2" applyFont="1" applyAlignment="1">
      <alignment horizontal="center" vertical="center"/>
    </xf>
    <xf numFmtId="0" fontId="16" fillId="0" borderId="1" xfId="2" applyFont="1" applyBorder="1" applyAlignment="1">
      <alignment vertical="center"/>
    </xf>
    <xf numFmtId="0" fontId="19" fillId="0" borderId="1" xfId="0" applyFont="1" applyBorder="1" applyAlignment="1">
      <alignment horizontal="justify" vertical="center" wrapText="1"/>
    </xf>
    <xf numFmtId="167" fontId="15" fillId="0" borderId="1" xfId="4" applyNumberFormat="1" applyFont="1" applyFill="1" applyBorder="1" applyAlignment="1">
      <alignment horizontal="center" vertical="center"/>
    </xf>
    <xf numFmtId="2" fontId="19" fillId="0" borderId="0" xfId="2" applyNumberFormat="1" applyFont="1" applyAlignment="1">
      <alignment vertical="center"/>
    </xf>
    <xf numFmtId="10" fontId="19" fillId="0" borderId="1" xfId="4" applyNumberFormat="1" applyFont="1" applyFill="1" applyBorder="1" applyAlignment="1">
      <alignment horizontal="center" vertical="center"/>
    </xf>
    <xf numFmtId="9" fontId="22" fillId="0" borderId="0" xfId="4" applyFont="1" applyFill="1" applyAlignment="1">
      <alignment horizontal="center" vertical="center"/>
    </xf>
    <xf numFmtId="0" fontId="19" fillId="0" borderId="7" xfId="0" applyFont="1" applyBorder="1" applyAlignment="1">
      <alignment horizontal="justify" vertical="center" wrapText="1"/>
    </xf>
    <xf numFmtId="10" fontId="19" fillId="0" borderId="10" xfId="4" applyNumberFormat="1" applyFont="1" applyFill="1" applyBorder="1" applyAlignment="1">
      <alignment horizontal="center" vertical="center"/>
    </xf>
    <xf numFmtId="0" fontId="19" fillId="0" borderId="37" xfId="0" applyFont="1" applyBorder="1" applyAlignment="1">
      <alignment horizontal="justify" vertical="center" wrapText="1"/>
    </xf>
    <xf numFmtId="10" fontId="16" fillId="0" borderId="38" xfId="2" applyNumberFormat="1" applyFont="1" applyBorder="1" applyAlignment="1">
      <alignment horizontal="center" vertical="center"/>
    </xf>
    <xf numFmtId="2" fontId="15" fillId="0" borderId="34" xfId="0" applyNumberFormat="1" applyFont="1" applyBorder="1" applyAlignment="1">
      <alignment horizontal="left" wrapText="1"/>
    </xf>
    <xf numFmtId="2" fontId="15" fillId="0" borderId="0" xfId="0" applyNumberFormat="1" applyFont="1" applyAlignment="1">
      <alignment horizontal="left" wrapText="1"/>
    </xf>
    <xf numFmtId="2" fontId="16" fillId="0" borderId="0" xfId="2" applyNumberFormat="1" applyFont="1" applyAlignment="1">
      <alignment horizontal="center" vertical="center"/>
    </xf>
    <xf numFmtId="0" fontId="16" fillId="0" borderId="7" xfId="2" applyFont="1" applyBorder="1" applyAlignment="1">
      <alignment horizontal="center" vertical="center"/>
    </xf>
    <xf numFmtId="10" fontId="15" fillId="0" borderId="2" xfId="4" applyNumberFormat="1" applyFont="1" applyFill="1" applyBorder="1" applyAlignment="1">
      <alignment horizontal="center" vertical="center"/>
    </xf>
    <xf numFmtId="10" fontId="19" fillId="0" borderId="1" xfId="0" applyNumberFormat="1" applyFont="1" applyBorder="1" applyAlignment="1">
      <alignment horizontal="justify" vertical="center" wrapText="1"/>
    </xf>
    <xf numFmtId="10" fontId="19" fillId="0" borderId="0" xfId="0" applyNumberFormat="1" applyFont="1" applyAlignment="1">
      <alignment horizontal="justify" vertical="center" wrapText="1"/>
    </xf>
    <xf numFmtId="10" fontId="23" fillId="0" borderId="0" xfId="0" applyNumberFormat="1" applyFont="1" applyAlignment="1">
      <alignment horizontal="justify" vertical="center" wrapText="1"/>
    </xf>
    <xf numFmtId="10" fontId="19" fillId="0" borderId="39" xfId="0" applyNumberFormat="1" applyFont="1" applyBorder="1" applyAlignment="1">
      <alignment horizontal="justify" vertical="center" wrapText="1"/>
    </xf>
    <xf numFmtId="10" fontId="15" fillId="0" borderId="0" xfId="2" applyNumberFormat="1" applyFont="1" applyAlignment="1">
      <alignment vertical="center"/>
    </xf>
    <xf numFmtId="10" fontId="19" fillId="0" borderId="34" xfId="0" applyNumberFormat="1" applyFont="1" applyBorder="1" applyAlignment="1">
      <alignment horizontal="justify" vertical="center" wrapText="1"/>
    </xf>
    <xf numFmtId="2" fontId="15" fillId="0" borderId="1" xfId="2" applyNumberFormat="1" applyFont="1" applyBorder="1" applyAlignment="1">
      <alignment horizontal="justify" vertical="center"/>
    </xf>
    <xf numFmtId="167" fontId="9" fillId="0" borderId="0" xfId="3" applyNumberFormat="1"/>
    <xf numFmtId="2" fontId="19" fillId="0" borderId="0" xfId="2" applyNumberFormat="1" applyFont="1" applyAlignment="1">
      <alignment horizontal="center" vertical="center"/>
    </xf>
    <xf numFmtId="170" fontId="19" fillId="0" borderId="0" xfId="2" applyNumberFormat="1" applyFont="1" applyAlignment="1">
      <alignment vertical="center"/>
    </xf>
    <xf numFmtId="4" fontId="16" fillId="0" borderId="8" xfId="2" applyNumberFormat="1" applyFont="1" applyBorder="1" applyAlignment="1">
      <alignment horizontal="center" vertical="center"/>
    </xf>
    <xf numFmtId="10" fontId="16" fillId="0" borderId="11" xfId="2" applyNumberFormat="1" applyFont="1" applyBorder="1" applyAlignment="1">
      <alignment horizontal="center" vertical="center"/>
    </xf>
    <xf numFmtId="4" fontId="15" fillId="0" borderId="1" xfId="2" applyNumberFormat="1" applyFont="1" applyBorder="1" applyAlignment="1">
      <alignment horizontal="left" vertical="center"/>
    </xf>
    <xf numFmtId="0" fontId="24" fillId="0" borderId="0" xfId="2" applyFont="1" applyAlignment="1">
      <alignment vertical="center"/>
    </xf>
    <xf numFmtId="169" fontId="24" fillId="0" borderId="0" xfId="2" applyNumberFormat="1" applyFont="1" applyAlignment="1">
      <alignment vertical="center"/>
    </xf>
    <xf numFmtId="0" fontId="16" fillId="0" borderId="0" xfId="2" applyFont="1" applyAlignment="1">
      <alignment vertical="center"/>
    </xf>
    <xf numFmtId="10" fontId="16" fillId="0" borderId="1" xfId="4" applyNumberFormat="1" applyFont="1" applyFill="1" applyBorder="1" applyAlignment="1">
      <alignment horizontal="center" vertical="center"/>
    </xf>
    <xf numFmtId="4" fontId="15" fillId="0" borderId="0" xfId="2" applyNumberFormat="1" applyFont="1" applyAlignment="1">
      <alignment vertical="center"/>
    </xf>
    <xf numFmtId="0" fontId="15" fillId="0" borderId="2" xfId="2" applyFont="1" applyBorder="1" applyAlignment="1">
      <alignment horizontal="left" vertical="center"/>
    </xf>
    <xf numFmtId="0" fontId="15" fillId="0" borderId="8" xfId="2" applyFont="1" applyBorder="1" applyAlignment="1">
      <alignment horizontal="left" vertical="center"/>
    </xf>
    <xf numFmtId="2" fontId="15" fillId="0" borderId="7" xfId="2" applyNumberFormat="1" applyFont="1" applyBorder="1" applyAlignment="1">
      <alignment horizontal="center" vertical="center"/>
    </xf>
    <xf numFmtId="9" fontId="19" fillId="0" borderId="0" xfId="2" applyNumberFormat="1" applyFont="1" applyAlignment="1">
      <alignment vertical="center"/>
    </xf>
    <xf numFmtId="10" fontId="16" fillId="0" borderId="12" xfId="4" applyNumberFormat="1" applyFont="1" applyFill="1" applyBorder="1" applyAlignment="1">
      <alignment horizontal="center" vertical="center"/>
    </xf>
    <xf numFmtId="4" fontId="19" fillId="0" borderId="0" xfId="2" applyNumberFormat="1" applyFont="1" applyAlignment="1">
      <alignment vertical="center"/>
    </xf>
    <xf numFmtId="0" fontId="14" fillId="2" borderId="5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wrapText="1"/>
    </xf>
    <xf numFmtId="0" fontId="13" fillId="0" borderId="0" xfId="0" applyFont="1" applyAlignment="1">
      <alignment wrapText="1"/>
    </xf>
    <xf numFmtId="0" fontId="13" fillId="0" borderId="4" xfId="0" applyFont="1" applyBorder="1" applyAlignment="1">
      <alignment wrapText="1"/>
    </xf>
    <xf numFmtId="0" fontId="13" fillId="0" borderId="3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15" xfId="0" applyFont="1" applyBorder="1"/>
    <xf numFmtId="0" fontId="13" fillId="0" borderId="16" xfId="0" applyFont="1" applyBorder="1"/>
    <xf numFmtId="0" fontId="13" fillId="0" borderId="17" xfId="0" applyFont="1" applyBorder="1"/>
    <xf numFmtId="0" fontId="13" fillId="0" borderId="0" xfId="0" applyFont="1" applyAlignment="1">
      <alignment horizontal="center" vertical="center"/>
    </xf>
    <xf numFmtId="0" fontId="13" fillId="0" borderId="3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18" xfId="0" applyFont="1" applyBorder="1"/>
    <xf numFmtId="0" fontId="13" fillId="0" borderId="19" xfId="0" applyFont="1" applyBorder="1"/>
    <xf numFmtId="0" fontId="13" fillId="0" borderId="20" xfId="0" applyFont="1" applyBorder="1"/>
    <xf numFmtId="0" fontId="0" fillId="3" borderId="0" xfId="0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164" fontId="11" fillId="3" borderId="1" xfId="1" applyFont="1" applyFill="1" applyBorder="1" applyAlignment="1">
      <alignment horizontal="left" vertical="center" wrapText="1"/>
    </xf>
    <xf numFmtId="164" fontId="12" fillId="3" borderId="0" xfId="1" applyFont="1" applyFill="1" applyAlignment="1">
      <alignment horizontal="center" vertical="center" wrapText="1"/>
    </xf>
    <xf numFmtId="164" fontId="12" fillId="3" borderId="1" xfId="1" applyFont="1" applyFill="1" applyBorder="1" applyAlignment="1">
      <alignment horizontal="left" vertical="center" wrapText="1"/>
    </xf>
    <xf numFmtId="10" fontId="11" fillId="3" borderId="1" xfId="3" applyNumberFormat="1" applyFont="1" applyFill="1" applyBorder="1" applyAlignment="1">
      <alignment horizontal="center" vertical="center" wrapText="1"/>
    </xf>
    <xf numFmtId="10" fontId="12" fillId="3" borderId="1" xfId="3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left" vertical="center" wrapText="1"/>
    </xf>
    <xf numFmtId="10" fontId="12" fillId="3" borderId="1" xfId="0" applyNumberFormat="1" applyFont="1" applyFill="1" applyBorder="1" applyAlignment="1">
      <alignment horizontal="center" vertical="center" wrapText="1"/>
    </xf>
    <xf numFmtId="164" fontId="9" fillId="3" borderId="1" xfId="1" applyFont="1" applyFill="1" applyBorder="1" applyAlignment="1">
      <alignment vertical="center"/>
    </xf>
    <xf numFmtId="164" fontId="11" fillId="3" borderId="1" xfId="0" applyNumberFormat="1" applyFont="1" applyFill="1" applyBorder="1" applyAlignment="1">
      <alignment horizontal="left" vertical="center" wrapText="1"/>
    </xf>
    <xf numFmtId="167" fontId="11" fillId="3" borderId="1" xfId="3" applyNumberFormat="1" applyFont="1" applyFill="1" applyBorder="1" applyAlignment="1">
      <alignment horizontal="center" vertical="center" wrapText="1"/>
    </xf>
    <xf numFmtId="10" fontId="12" fillId="3" borderId="0" xfId="0" applyNumberFormat="1" applyFont="1" applyFill="1" applyAlignment="1">
      <alignment horizontal="center" vertical="center" wrapText="1"/>
    </xf>
    <xf numFmtId="164" fontId="12" fillId="3" borderId="0" xfId="0" applyNumberFormat="1" applyFont="1" applyFill="1" applyAlignment="1">
      <alignment horizontal="center" vertical="center" wrapText="1"/>
    </xf>
    <xf numFmtId="164" fontId="9" fillId="3" borderId="0" xfId="1" applyFont="1" applyFill="1" applyAlignment="1">
      <alignment horizontal="center" vertical="center" wrapText="1"/>
    </xf>
    <xf numFmtId="164" fontId="12" fillId="3" borderId="0" xfId="0" applyNumberFormat="1" applyFont="1" applyFill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10" fontId="9" fillId="3" borderId="1" xfId="3" applyNumberFormat="1" applyFont="1" applyFill="1" applyBorder="1" applyAlignment="1">
      <alignment horizontal="center" vertical="center" wrapText="1"/>
    </xf>
    <xf numFmtId="164" fontId="9" fillId="3" borderId="1" xfId="1" applyFont="1" applyFill="1" applyBorder="1" applyAlignment="1">
      <alignment horizontal="left" vertical="center" wrapText="1"/>
    </xf>
    <xf numFmtId="10" fontId="0" fillId="3" borderId="1" xfId="0" applyNumberFormat="1" applyFill="1" applyBorder="1" applyAlignment="1">
      <alignment horizontal="center" vertical="center" wrapText="1"/>
    </xf>
    <xf numFmtId="164" fontId="10" fillId="3" borderId="1" xfId="1" applyFont="1" applyFill="1" applyBorder="1" applyAlignment="1">
      <alignment horizontal="left" vertical="center" wrapText="1"/>
    </xf>
    <xf numFmtId="164" fontId="0" fillId="3" borderId="1" xfId="0" applyNumberFormat="1" applyFill="1" applyBorder="1" applyAlignment="1">
      <alignment horizontal="left" vertical="center" wrapText="1"/>
    </xf>
    <xf numFmtId="164" fontId="10" fillId="3" borderId="1" xfId="0" applyNumberFormat="1" applyFont="1" applyFill="1" applyBorder="1" applyAlignment="1">
      <alignment horizontal="left" vertical="center" wrapText="1"/>
    </xf>
    <xf numFmtId="0" fontId="0" fillId="3" borderId="0" xfId="0" applyFill="1"/>
    <xf numFmtId="43" fontId="0" fillId="3" borderId="0" xfId="0" applyNumberFormat="1" applyFill="1"/>
    <xf numFmtId="164" fontId="9" fillId="3" borderId="0" xfId="1" applyFont="1" applyFill="1"/>
    <xf numFmtId="164" fontId="9" fillId="3" borderId="1" xfId="1" applyFont="1" applyFill="1" applyBorder="1" applyAlignment="1">
      <alignment horizontal="center" vertical="center" wrapText="1"/>
    </xf>
    <xf numFmtId="164" fontId="10" fillId="3" borderId="1" xfId="1" applyFont="1" applyFill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16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30" fillId="3" borderId="0" xfId="0" applyFont="1" applyFill="1"/>
    <xf numFmtId="165" fontId="30" fillId="3" borderId="0" xfId="5" applyFont="1" applyFill="1"/>
    <xf numFmtId="164" fontId="31" fillId="4" borderId="0" xfId="1" applyFont="1" applyFill="1" applyAlignment="1">
      <alignment horizontal="center" vertical="center" wrapText="1"/>
    </xf>
    <xf numFmtId="0" fontId="31" fillId="4" borderId="0" xfId="0" applyFont="1" applyFill="1" applyAlignment="1">
      <alignment horizontal="center" vertical="center" wrapText="1"/>
    </xf>
    <xf numFmtId="0" fontId="28" fillId="0" borderId="3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left" wrapText="1"/>
    </xf>
    <xf numFmtId="0" fontId="13" fillId="0" borderId="0" xfId="0" applyFont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15" xfId="0" applyFont="1" applyBorder="1" applyAlignment="1">
      <alignment horizontal="justify" vertical="justify" wrapText="1"/>
    </xf>
    <xf numFmtId="0" fontId="13" fillId="0" borderId="16" xfId="0" applyFont="1" applyBorder="1" applyAlignment="1">
      <alignment horizontal="justify" vertical="justify" wrapText="1"/>
    </xf>
    <xf numFmtId="0" fontId="13" fillId="0" borderId="17" xfId="0" applyFont="1" applyBorder="1" applyAlignment="1">
      <alignment horizontal="justify" vertical="justify" wrapText="1"/>
    </xf>
    <xf numFmtId="0" fontId="13" fillId="0" borderId="18" xfId="0" applyFont="1" applyBorder="1" applyAlignment="1">
      <alignment wrapText="1"/>
    </xf>
    <xf numFmtId="0" fontId="13" fillId="0" borderId="19" xfId="0" applyFont="1" applyBorder="1" applyAlignment="1">
      <alignment wrapText="1"/>
    </xf>
    <xf numFmtId="0" fontId="13" fillId="0" borderId="20" xfId="0" applyFont="1" applyBorder="1" applyAlignment="1">
      <alignment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28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left" wrapText="1"/>
    </xf>
    <xf numFmtId="0" fontId="13" fillId="0" borderId="4" xfId="0" applyFont="1" applyBorder="1" applyAlignment="1">
      <alignment horizontal="left" wrapText="1"/>
    </xf>
    <xf numFmtId="0" fontId="13" fillId="0" borderId="3" xfId="0" applyFont="1" applyBorder="1" applyAlignment="1">
      <alignment horizontal="left"/>
    </xf>
    <xf numFmtId="0" fontId="13" fillId="0" borderId="1" xfId="0" applyFont="1" applyBorder="1" applyAlignment="1">
      <alignment horizontal="center" vertical="center"/>
    </xf>
    <xf numFmtId="164" fontId="25" fillId="0" borderId="1" xfId="1" applyFont="1" applyBorder="1" applyAlignment="1">
      <alignment horizontal="center" vertical="center"/>
    </xf>
    <xf numFmtId="164" fontId="13" fillId="0" borderId="1" xfId="1" applyFont="1" applyFill="1" applyBorder="1" applyAlignment="1">
      <alignment horizontal="center" vertical="center"/>
    </xf>
    <xf numFmtId="164" fontId="13" fillId="0" borderId="1" xfId="1" applyFont="1" applyBorder="1" applyAlignment="1">
      <alignment horizontal="center" vertical="center"/>
    </xf>
    <xf numFmtId="164" fontId="13" fillId="0" borderId="22" xfId="1" applyFont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44" fontId="14" fillId="2" borderId="14" xfId="0" applyNumberFormat="1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justify" vertical="justify" wrapText="1"/>
    </xf>
    <xf numFmtId="0" fontId="13" fillId="0" borderId="19" xfId="0" applyFont="1" applyBorder="1" applyAlignment="1">
      <alignment horizontal="justify" vertical="justify" wrapText="1"/>
    </xf>
    <xf numFmtId="0" fontId="13" fillId="0" borderId="20" xfId="0" applyFont="1" applyBorder="1" applyAlignment="1">
      <alignment horizontal="justify" vertical="justify" wrapText="1"/>
    </xf>
    <xf numFmtId="0" fontId="27" fillId="0" borderId="3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4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25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justify" vertical="center" wrapText="1"/>
    </xf>
    <xf numFmtId="0" fontId="11" fillId="0" borderId="25" xfId="0" applyFont="1" applyBorder="1" applyAlignment="1">
      <alignment horizontal="justify" vertical="center" wrapText="1"/>
    </xf>
    <xf numFmtId="0" fontId="11" fillId="0" borderId="8" xfId="0" applyFont="1" applyBorder="1" applyAlignment="1">
      <alignment horizontal="justify" vertical="center" wrapText="1"/>
    </xf>
    <xf numFmtId="166" fontId="0" fillId="0" borderId="1" xfId="0" applyNumberForma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2" fillId="0" borderId="2" xfId="0" applyFont="1" applyBorder="1" applyAlignment="1">
      <alignment horizontal="center" wrapText="1"/>
    </xf>
    <xf numFmtId="0" fontId="0" fillId="3" borderId="1" xfId="0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1" fillId="3" borderId="0" xfId="0" applyFont="1" applyFill="1" applyAlignment="1">
      <alignment horizontal="center" vertical="center" wrapText="1"/>
    </xf>
    <xf numFmtId="166" fontId="0" fillId="3" borderId="1" xfId="0" applyNumberFormat="1" applyFill="1" applyBorder="1" applyAlignment="1">
      <alignment horizontal="center" vertical="center" wrapText="1"/>
    </xf>
    <xf numFmtId="49" fontId="11" fillId="3" borderId="0" xfId="0" applyNumberFormat="1" applyFon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49" fontId="15" fillId="0" borderId="2" xfId="2" applyNumberFormat="1" applyFont="1" applyBorder="1" applyAlignment="1">
      <alignment horizontal="left" vertical="center" wrapText="1"/>
    </xf>
    <xf numFmtId="49" fontId="15" fillId="0" borderId="8" xfId="2" applyNumberFormat="1" applyFont="1" applyBorder="1" applyAlignment="1">
      <alignment horizontal="left" vertical="center" wrapText="1"/>
    </xf>
    <xf numFmtId="0" fontId="16" fillId="0" borderId="34" xfId="2" applyFont="1" applyBorder="1" applyAlignment="1">
      <alignment horizontal="center" vertical="center"/>
    </xf>
    <xf numFmtId="0" fontId="15" fillId="0" borderId="38" xfId="2" applyFont="1" applyBorder="1" applyAlignment="1">
      <alignment horizontal="center" vertical="center"/>
    </xf>
    <xf numFmtId="0" fontId="15" fillId="0" borderId="35" xfId="2" applyFont="1" applyBorder="1" applyAlignment="1">
      <alignment horizontal="center" vertical="center"/>
    </xf>
    <xf numFmtId="0" fontId="15" fillId="0" borderId="36" xfId="2" applyFont="1" applyBorder="1" applyAlignment="1">
      <alignment horizontal="center" vertical="center"/>
    </xf>
    <xf numFmtId="0" fontId="16" fillId="0" borderId="32" xfId="2" applyFont="1" applyBorder="1" applyAlignment="1">
      <alignment horizontal="justify" vertical="center"/>
    </xf>
    <xf numFmtId="0" fontId="16" fillId="0" borderId="33" xfId="2" applyFont="1" applyBorder="1" applyAlignment="1">
      <alignment horizontal="justify" vertical="center"/>
    </xf>
    <xf numFmtId="0" fontId="16" fillId="0" borderId="32" xfId="2" applyFont="1" applyBorder="1" applyAlignment="1">
      <alignment horizontal="center" vertical="center" wrapText="1"/>
    </xf>
    <xf numFmtId="0" fontId="16" fillId="0" borderId="33" xfId="2" applyFont="1" applyBorder="1" applyAlignment="1">
      <alignment horizontal="center" vertical="center" wrapText="1"/>
    </xf>
    <xf numFmtId="49" fontId="29" fillId="0" borderId="2" xfId="2" quotePrefix="1" applyNumberFormat="1" applyFont="1" applyBorder="1" applyAlignment="1">
      <alignment horizontal="left" vertical="center"/>
    </xf>
    <xf numFmtId="49" fontId="15" fillId="0" borderId="8" xfId="2" applyNumberFormat="1" applyFont="1" applyBorder="1" applyAlignment="1">
      <alignment horizontal="left" vertical="center"/>
    </xf>
    <xf numFmtId="0" fontId="16" fillId="0" borderId="2" xfId="2" applyFont="1" applyBorder="1" applyAlignment="1">
      <alignment horizontal="center" vertical="center" wrapText="1"/>
    </xf>
    <xf numFmtId="0" fontId="16" fillId="0" borderId="8" xfId="2" applyFont="1" applyBorder="1" applyAlignment="1">
      <alignment horizontal="center" vertical="center" wrapText="1"/>
    </xf>
    <xf numFmtId="0" fontId="15" fillId="0" borderId="31" xfId="2" applyFont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6" fillId="0" borderId="1" xfId="2" applyFont="1" applyBorder="1" applyAlignment="1">
      <alignment horizontal="left" vertical="center" wrapText="1"/>
    </xf>
    <xf numFmtId="0" fontId="16" fillId="0" borderId="25" xfId="2" applyFont="1" applyBorder="1" applyAlignment="1">
      <alignment horizontal="center" vertical="center"/>
    </xf>
    <xf numFmtId="10" fontId="16" fillId="0" borderId="34" xfId="2" applyNumberFormat="1" applyFont="1" applyBorder="1" applyAlignment="1">
      <alignment horizontal="right" vertical="center"/>
    </xf>
    <xf numFmtId="0" fontId="16" fillId="0" borderId="2" xfId="2" applyFont="1" applyBorder="1" applyAlignment="1">
      <alignment horizontal="justify" vertical="center"/>
    </xf>
    <xf numFmtId="0" fontId="16" fillId="0" borderId="8" xfId="2" applyFont="1" applyBorder="1" applyAlignment="1">
      <alignment horizontal="justify" vertical="center"/>
    </xf>
    <xf numFmtId="0" fontId="16" fillId="0" borderId="0" xfId="2" applyFont="1" applyAlignment="1">
      <alignment horizontal="right" vertical="center"/>
    </xf>
    <xf numFmtId="49" fontId="23" fillId="0" borderId="2" xfId="2" applyNumberFormat="1" applyFont="1" applyBorder="1" applyAlignment="1">
      <alignment horizontal="left" vertical="center" wrapText="1"/>
    </xf>
    <xf numFmtId="49" fontId="23" fillId="0" borderId="8" xfId="2" applyNumberFormat="1" applyFont="1" applyBorder="1" applyAlignment="1">
      <alignment horizontal="left" vertical="center" wrapText="1"/>
    </xf>
    <xf numFmtId="49" fontId="15" fillId="0" borderId="10" xfId="2" applyNumberFormat="1" applyFont="1" applyBorder="1" applyAlignment="1">
      <alignment horizontal="left" vertical="center" wrapText="1"/>
    </xf>
    <xf numFmtId="0" fontId="16" fillId="0" borderId="2" xfId="2" applyFont="1" applyBorder="1" applyAlignment="1">
      <alignment horizontal="center" vertical="center"/>
    </xf>
    <xf numFmtId="0" fontId="16" fillId="0" borderId="8" xfId="2" applyFont="1" applyBorder="1" applyAlignment="1">
      <alignment horizontal="center" vertical="center"/>
    </xf>
    <xf numFmtId="0" fontId="16" fillId="0" borderId="34" xfId="2" applyFont="1" applyBorder="1" applyAlignment="1">
      <alignment horizontal="right" vertical="center"/>
    </xf>
    <xf numFmtId="0" fontId="16" fillId="0" borderId="2" xfId="2" applyFont="1" applyBorder="1" applyAlignment="1">
      <alignment horizontal="right" vertical="center"/>
    </xf>
    <xf numFmtId="0" fontId="16" fillId="0" borderId="25" xfId="2" applyFont="1" applyBorder="1" applyAlignment="1">
      <alignment horizontal="right" vertical="center"/>
    </xf>
    <xf numFmtId="0" fontId="16" fillId="0" borderId="31" xfId="2" applyFont="1" applyBorder="1" applyAlignment="1">
      <alignment horizontal="right" vertical="center"/>
    </xf>
    <xf numFmtId="0" fontId="15" fillId="0" borderId="2" xfId="2" applyFont="1" applyBorder="1" applyAlignment="1">
      <alignment horizontal="left" vertical="center"/>
    </xf>
    <xf numFmtId="0" fontId="15" fillId="0" borderId="8" xfId="2" applyFont="1" applyBorder="1" applyAlignment="1">
      <alignment horizontal="left" vertical="center"/>
    </xf>
    <xf numFmtId="0" fontId="15" fillId="0" borderId="10" xfId="2" applyFont="1" applyBorder="1" applyAlignment="1">
      <alignment horizontal="left" vertical="center"/>
    </xf>
    <xf numFmtId="0" fontId="15" fillId="0" borderId="27" xfId="2" applyFont="1" applyBorder="1" applyAlignment="1">
      <alignment horizontal="left" vertical="center"/>
    </xf>
    <xf numFmtId="0" fontId="16" fillId="0" borderId="28" xfId="2" applyFont="1" applyBorder="1" applyAlignment="1">
      <alignment horizontal="left" vertical="center"/>
    </xf>
    <xf numFmtId="0" fontId="16" fillId="0" borderId="29" xfId="2" applyFont="1" applyBorder="1" applyAlignment="1">
      <alignment horizontal="left" vertical="center"/>
    </xf>
    <xf numFmtId="0" fontId="16" fillId="0" borderId="30" xfId="2" applyFont="1" applyBorder="1" applyAlignment="1">
      <alignment horizontal="left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" fontId="31" fillId="4" borderId="0" xfId="0" applyNumberFormat="1" applyFont="1" applyFill="1" applyAlignment="1">
      <alignment horizontal="center" vertical="center" wrapText="1"/>
    </xf>
    <xf numFmtId="0" fontId="0" fillId="3" borderId="28" xfId="0" applyFill="1" applyBorder="1" applyAlignment="1">
      <alignment horizontal="center" vertical="center" wrapText="1"/>
    </xf>
    <xf numFmtId="0" fontId="0" fillId="3" borderId="29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6">
    <cellStyle name="Moeda" xfId="1" builtinId="4"/>
    <cellStyle name="Normal" xfId="0" builtinId="0"/>
    <cellStyle name="Normal 2 2 2" xfId="2" xr:uid="{50F6288C-DFF4-4ED9-81B9-D5248B9CF4F8}"/>
    <cellStyle name="Porcentagem" xfId="3" builtinId="5"/>
    <cellStyle name="Porcentagem 2" xfId="4" xr:uid="{2796670A-656E-4B71-87A8-5296A3234A28}"/>
    <cellStyle name="Vírgula" xfId="5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53CCC-061D-4830-A945-AB329558BA19}">
  <dimension ref="C1:P61"/>
  <sheetViews>
    <sheetView showGridLines="0" topLeftCell="A38" zoomScale="70" zoomScaleNormal="70" zoomScaleSheetLayoutView="70" workbookViewId="0">
      <selection activeCell="C54" sqref="C54"/>
    </sheetView>
  </sheetViews>
  <sheetFormatPr defaultColWidth="9.1796875" defaultRowHeight="18.5" x14ac:dyDescent="0.45"/>
  <cols>
    <col min="1" max="2" width="5" style="42" customWidth="1"/>
    <col min="3" max="3" width="10.7265625" style="42" customWidth="1"/>
    <col min="4" max="4" width="51.453125" style="42" customWidth="1"/>
    <col min="5" max="5" width="13.1796875" style="42" customWidth="1"/>
    <col min="6" max="6" width="13" style="42" customWidth="1"/>
    <col min="7" max="8" width="7" style="42" customWidth="1"/>
    <col min="9" max="10" width="9.1796875" style="42"/>
    <col min="11" max="12" width="10.1796875" style="42" customWidth="1"/>
    <col min="13" max="14" width="10.26953125" style="42" customWidth="1"/>
    <col min="15" max="16" width="11.26953125" style="42" customWidth="1"/>
    <col min="17" max="16384" width="9.1796875" style="42"/>
  </cols>
  <sheetData>
    <row r="1" spans="3:16" ht="21" customHeight="1" x14ac:dyDescent="0.45"/>
    <row r="2" spans="3:16" ht="21" customHeight="1" thickBot="1" x14ac:dyDescent="0.5"/>
    <row r="3" spans="3:16" ht="15" customHeight="1" x14ac:dyDescent="0.45">
      <c r="C3" s="161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3"/>
    </row>
    <row r="4" spans="3:16" ht="15" customHeight="1" x14ac:dyDescent="0.45">
      <c r="C4" s="41"/>
      <c r="P4" s="43"/>
    </row>
    <row r="5" spans="3:16" ht="15" customHeight="1" x14ac:dyDescent="0.45">
      <c r="C5" s="41"/>
      <c r="P5" s="43"/>
    </row>
    <row r="6" spans="3:16" ht="42" customHeight="1" x14ac:dyDescent="0.45">
      <c r="C6" s="246" t="s">
        <v>154</v>
      </c>
      <c r="D6" s="247"/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7"/>
      <c r="P6" s="248"/>
    </row>
    <row r="7" spans="3:16" ht="15" customHeight="1" x14ac:dyDescent="0.45">
      <c r="C7" s="41"/>
      <c r="P7" s="43"/>
    </row>
    <row r="8" spans="3:16" ht="15" customHeight="1" x14ac:dyDescent="0.45">
      <c r="C8" s="41"/>
      <c r="P8" s="43"/>
    </row>
    <row r="9" spans="3:16" ht="15" customHeight="1" x14ac:dyDescent="0.45">
      <c r="C9" s="41"/>
      <c r="P9" s="43"/>
    </row>
    <row r="10" spans="3:16" ht="23.25" customHeight="1" x14ac:dyDescent="0.45">
      <c r="C10" s="41" t="s">
        <v>168</v>
      </c>
      <c r="P10" s="43"/>
    </row>
    <row r="11" spans="3:16" ht="23.25" customHeight="1" x14ac:dyDescent="0.45">
      <c r="C11" s="41" t="s">
        <v>169</v>
      </c>
      <c r="P11" s="43"/>
    </row>
    <row r="12" spans="3:16" ht="15" customHeight="1" thickBot="1" x14ac:dyDescent="0.5">
      <c r="C12" s="41"/>
      <c r="P12" s="43"/>
    </row>
    <row r="13" spans="3:16" ht="23.25" customHeight="1" x14ac:dyDescent="0.45">
      <c r="C13" s="249" t="s">
        <v>155</v>
      </c>
      <c r="D13" s="250"/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1"/>
    </row>
    <row r="14" spans="3:16" ht="23.25" customHeight="1" thickBot="1" x14ac:dyDescent="0.5">
      <c r="C14" s="240" t="s">
        <v>170</v>
      </c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3"/>
    </row>
    <row r="15" spans="3:16" ht="15" customHeight="1" x14ac:dyDescent="0.45">
      <c r="C15" s="41"/>
      <c r="P15" s="43"/>
    </row>
    <row r="16" spans="3:16" ht="15" customHeight="1" x14ac:dyDescent="0.45">
      <c r="C16" s="41" t="s">
        <v>306</v>
      </c>
      <c r="L16" s="42" t="s">
        <v>307</v>
      </c>
      <c r="P16" s="43"/>
    </row>
    <row r="17" spans="3:16" ht="15" customHeight="1" x14ac:dyDescent="0.45">
      <c r="C17" s="41"/>
      <c r="P17" s="43"/>
    </row>
    <row r="18" spans="3:16" ht="15" customHeight="1" x14ac:dyDescent="0.45">
      <c r="C18" s="41" t="s">
        <v>308</v>
      </c>
      <c r="L18" s="42" t="s">
        <v>309</v>
      </c>
      <c r="P18" s="43"/>
    </row>
    <row r="19" spans="3:16" ht="15" customHeight="1" x14ac:dyDescent="0.45">
      <c r="C19" s="41"/>
      <c r="P19" s="43"/>
    </row>
    <row r="20" spans="3:16" ht="15" customHeight="1" x14ac:dyDescent="0.45">
      <c r="C20" s="41" t="s">
        <v>310</v>
      </c>
      <c r="L20" s="42" t="s">
        <v>311</v>
      </c>
      <c r="P20" s="43"/>
    </row>
    <row r="21" spans="3:16" ht="15" customHeight="1" x14ac:dyDescent="0.45">
      <c r="C21" s="41"/>
      <c r="P21" s="43"/>
    </row>
    <row r="22" spans="3:16" ht="15" customHeight="1" x14ac:dyDescent="0.45">
      <c r="C22" s="41" t="s">
        <v>312</v>
      </c>
      <c r="L22" s="42" t="s">
        <v>313</v>
      </c>
      <c r="P22" s="43"/>
    </row>
    <row r="23" spans="3:16" ht="15" customHeight="1" thickBot="1" x14ac:dyDescent="0.5">
      <c r="C23" s="41"/>
      <c r="P23" s="43"/>
    </row>
    <row r="24" spans="3:16" ht="55.5" customHeight="1" x14ac:dyDescent="0.45">
      <c r="C24" s="215" t="s">
        <v>314</v>
      </c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7"/>
    </row>
    <row r="25" spans="3:16" ht="55.5" customHeight="1" thickBot="1" x14ac:dyDescent="0.5">
      <c r="C25" s="252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4"/>
    </row>
    <row r="26" spans="3:16" ht="20.25" customHeight="1" x14ac:dyDescent="0.45">
      <c r="C26" s="41"/>
      <c r="P26" s="43"/>
    </row>
    <row r="27" spans="3:16" ht="20.25" customHeight="1" x14ac:dyDescent="0.45">
      <c r="C27" s="255" t="s">
        <v>156</v>
      </c>
      <c r="D27" s="256"/>
      <c r="E27" s="256"/>
      <c r="F27" s="256"/>
      <c r="G27" s="256"/>
      <c r="H27" s="256"/>
      <c r="I27" s="256"/>
      <c r="J27" s="256"/>
      <c r="K27" s="256"/>
      <c r="L27" s="256"/>
      <c r="M27" s="256"/>
      <c r="N27" s="256"/>
      <c r="O27" s="256"/>
      <c r="P27" s="257"/>
    </row>
    <row r="28" spans="3:16" ht="20.25" customHeight="1" thickBot="1" x14ac:dyDescent="0.5">
      <c r="C28" s="41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3"/>
    </row>
    <row r="29" spans="3:16" s="164" customFormat="1" ht="45" customHeight="1" x14ac:dyDescent="0.35">
      <c r="C29" s="149" t="s">
        <v>115</v>
      </c>
      <c r="D29" s="45" t="s">
        <v>157</v>
      </c>
      <c r="E29" s="148" t="s">
        <v>158</v>
      </c>
      <c r="F29" s="150" t="s">
        <v>159</v>
      </c>
      <c r="G29" s="244" t="s">
        <v>160</v>
      </c>
      <c r="H29" s="244"/>
      <c r="I29" s="244" t="s">
        <v>161</v>
      </c>
      <c r="J29" s="244"/>
      <c r="K29" s="244" t="s">
        <v>162</v>
      </c>
      <c r="L29" s="244"/>
      <c r="M29" s="244" t="s">
        <v>163</v>
      </c>
      <c r="N29" s="244"/>
      <c r="O29" s="244" t="s">
        <v>164</v>
      </c>
      <c r="P29" s="245"/>
    </row>
    <row r="30" spans="3:16" s="164" customFormat="1" ht="45" customHeight="1" x14ac:dyDescent="0.35">
      <c r="C30" s="46">
        <v>1</v>
      </c>
      <c r="D30" s="47" t="s">
        <v>137</v>
      </c>
      <c r="E30" s="48" t="s">
        <v>165</v>
      </c>
      <c r="F30" s="48">
        <v>1</v>
      </c>
      <c r="G30" s="235">
        <f>F30*2</f>
        <v>2</v>
      </c>
      <c r="H30" s="235"/>
      <c r="I30" s="236">
        <f ca="1">ROUND('vdd 2 a 6 I'!I135,2)</f>
        <v>15064.58</v>
      </c>
      <c r="J30" s="236"/>
      <c r="K30" s="237">
        <f ca="1">ROUND(I30*12,2)</f>
        <v>180774.96</v>
      </c>
      <c r="L30" s="237"/>
      <c r="M30" s="238">
        <f ca="1">ROUND(F30*I30,2)</f>
        <v>15064.58</v>
      </c>
      <c r="N30" s="238"/>
      <c r="O30" s="238">
        <f ca="1">ROUND(K30*F30,2)</f>
        <v>180774.96</v>
      </c>
      <c r="P30" s="239"/>
    </row>
    <row r="31" spans="3:16" s="164" customFormat="1" ht="45" customHeight="1" x14ac:dyDescent="0.35">
      <c r="C31" s="46">
        <v>2</v>
      </c>
      <c r="D31" s="47" t="s">
        <v>138</v>
      </c>
      <c r="E31" s="48" t="s">
        <v>165</v>
      </c>
      <c r="F31" s="48">
        <v>2</v>
      </c>
      <c r="G31" s="235">
        <f>F31*2</f>
        <v>4</v>
      </c>
      <c r="H31" s="235"/>
      <c r="I31" s="236">
        <f ca="1">ROUND('vdd I'!I135,2)</f>
        <v>15553.76</v>
      </c>
      <c r="J31" s="236"/>
      <c r="K31" s="237">
        <f ca="1">ROUND(I31*12,2)</f>
        <v>186645.12</v>
      </c>
      <c r="L31" s="237"/>
      <c r="M31" s="238">
        <f ca="1">ROUND(F31*I31,2)</f>
        <v>31107.52</v>
      </c>
      <c r="N31" s="238"/>
      <c r="O31" s="238">
        <f ca="1">ROUND(K31*F31,2)</f>
        <v>373290.23999999999</v>
      </c>
      <c r="P31" s="239"/>
    </row>
    <row r="32" spans="3:16" s="164" customFormat="1" ht="45" customHeight="1" x14ac:dyDescent="0.35">
      <c r="C32" s="46">
        <v>3</v>
      </c>
      <c r="D32" s="47" t="s">
        <v>145</v>
      </c>
      <c r="E32" s="48" t="s">
        <v>165</v>
      </c>
      <c r="F32" s="48">
        <v>1</v>
      </c>
      <c r="G32" s="235">
        <f>F32*2</f>
        <v>2</v>
      </c>
      <c r="H32" s="235"/>
      <c r="I32" s="236">
        <f ca="1">ROUND('vdn I '!I135,2)</f>
        <v>17011.259999999998</v>
      </c>
      <c r="J32" s="236"/>
      <c r="K32" s="237">
        <f ca="1">ROUND(I32*12,2)</f>
        <v>204135.12</v>
      </c>
      <c r="L32" s="237"/>
      <c r="M32" s="238">
        <f ca="1">ROUND(F32*I32,2)</f>
        <v>17011.259999999998</v>
      </c>
      <c r="N32" s="238"/>
      <c r="O32" s="238">
        <f ca="1">ROUND(K32*F32,2)</f>
        <v>204135.12</v>
      </c>
      <c r="P32" s="239"/>
    </row>
    <row r="33" spans="3:16" s="164" customFormat="1" ht="45" customHeight="1" x14ac:dyDescent="0.35">
      <c r="C33" s="46">
        <v>4</v>
      </c>
      <c r="D33" s="47" t="s">
        <v>146</v>
      </c>
      <c r="E33" s="48" t="s">
        <v>165</v>
      </c>
      <c r="F33" s="48">
        <v>2</v>
      </c>
      <c r="G33" s="235">
        <f>F33*2</f>
        <v>4</v>
      </c>
      <c r="H33" s="235"/>
      <c r="I33" s="236">
        <f ca="1">ROUND('vda II'!I135,2)</f>
        <v>15580.64</v>
      </c>
      <c r="J33" s="236"/>
      <c r="K33" s="237">
        <f ca="1">ROUND(I33*12,2)</f>
        <v>186967.67999999999</v>
      </c>
      <c r="L33" s="237"/>
      <c r="M33" s="238">
        <f ca="1">ROUND(F33*I33,2)</f>
        <v>31161.279999999999</v>
      </c>
      <c r="N33" s="238"/>
      <c r="O33" s="238">
        <f ca="1">ROUND(K33*F33,2)</f>
        <v>373935.35999999999</v>
      </c>
      <c r="P33" s="239"/>
    </row>
    <row r="34" spans="3:16" s="164" customFormat="1" ht="45" customHeight="1" x14ac:dyDescent="0.35">
      <c r="C34" s="46">
        <v>5</v>
      </c>
      <c r="D34" s="47" t="s">
        <v>139</v>
      </c>
      <c r="E34" s="48" t="s">
        <v>165</v>
      </c>
      <c r="F34" s="48">
        <v>2</v>
      </c>
      <c r="G34" s="235">
        <f>F34*2</f>
        <v>4</v>
      </c>
      <c r="H34" s="235"/>
      <c r="I34" s="236">
        <f ca="1">ROUND('vna II'!I135,2)</f>
        <v>17038.080000000002</v>
      </c>
      <c r="J34" s="236"/>
      <c r="K34" s="237">
        <f ca="1">ROUND(I34*12,2)</f>
        <v>204456.95999999999</v>
      </c>
      <c r="L34" s="237"/>
      <c r="M34" s="238">
        <f ca="1">ROUND(F34*I34,2)</f>
        <v>34076.160000000003</v>
      </c>
      <c r="N34" s="238"/>
      <c r="O34" s="238">
        <f ca="1">ROUND(K34*F34,2)</f>
        <v>408913.91999999998</v>
      </c>
      <c r="P34" s="239"/>
    </row>
    <row r="35" spans="3:16" s="164" customFormat="1" ht="45" customHeight="1" thickBot="1" x14ac:dyDescent="0.4">
      <c r="C35" s="240" t="s">
        <v>166</v>
      </c>
      <c r="D35" s="241"/>
      <c r="E35" s="241"/>
      <c r="F35" s="151">
        <f>SUM(F30:F34)</f>
        <v>8</v>
      </c>
      <c r="G35" s="241">
        <f>SUM(G30:H34)</f>
        <v>16</v>
      </c>
      <c r="H35" s="241"/>
      <c r="I35" s="241"/>
      <c r="J35" s="241"/>
      <c r="K35" s="241"/>
      <c r="L35" s="241"/>
      <c r="M35" s="242">
        <f ca="1">ROUND(SUM(M30:N34),2)</f>
        <v>128420.8</v>
      </c>
      <c r="N35" s="242"/>
      <c r="O35" s="242">
        <f ca="1">ROUND(SUM(O30:P34),2)</f>
        <v>1541049.6</v>
      </c>
      <c r="P35" s="243"/>
    </row>
    <row r="36" spans="3:16" ht="15" customHeight="1" thickBot="1" x14ac:dyDescent="0.5">
      <c r="C36" s="41"/>
      <c r="P36" s="43"/>
    </row>
    <row r="37" spans="3:16" ht="50.25" customHeight="1" x14ac:dyDescent="0.45">
      <c r="C37" s="215" t="s">
        <v>315</v>
      </c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7"/>
    </row>
    <row r="38" spans="3:16" ht="50.25" customHeight="1" thickBot="1" x14ac:dyDescent="0.5">
      <c r="C38" s="218"/>
      <c r="D38" s="219"/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20"/>
    </row>
    <row r="39" spans="3:16" ht="21.75" customHeight="1" thickBot="1" x14ac:dyDescent="0.5">
      <c r="C39" s="165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7"/>
    </row>
    <row r="40" spans="3:16" s="168" customFormat="1" ht="15" customHeight="1" x14ac:dyDescent="0.35">
      <c r="C40" s="221" t="s">
        <v>316</v>
      </c>
      <c r="D40" s="222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3"/>
    </row>
    <row r="41" spans="3:16" s="168" customFormat="1" ht="15" customHeight="1" thickBot="1" x14ac:dyDescent="0.4">
      <c r="C41" s="224"/>
      <c r="D41" s="225"/>
      <c r="E41" s="225"/>
      <c r="F41" s="225"/>
      <c r="G41" s="225"/>
      <c r="H41" s="225"/>
      <c r="I41" s="225"/>
      <c r="J41" s="225"/>
      <c r="K41" s="225"/>
      <c r="L41" s="225"/>
      <c r="M41" s="225"/>
      <c r="N41" s="225"/>
      <c r="O41" s="225"/>
      <c r="P41" s="226"/>
    </row>
    <row r="42" spans="3:16" ht="27" customHeight="1" x14ac:dyDescent="0.45">
      <c r="C42" s="41"/>
      <c r="P42" s="43"/>
    </row>
    <row r="43" spans="3:16" ht="27" customHeight="1" x14ac:dyDescent="0.45">
      <c r="C43" s="234" t="s">
        <v>304</v>
      </c>
      <c r="D43" s="213"/>
      <c r="E43" s="213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4"/>
    </row>
    <row r="44" spans="3:16" ht="27" customHeight="1" x14ac:dyDescent="0.45">
      <c r="C44" s="158"/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60"/>
    </row>
    <row r="45" spans="3:16" ht="41.25" customHeight="1" x14ac:dyDescent="0.45">
      <c r="C45" s="212" t="s">
        <v>305</v>
      </c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3"/>
    </row>
    <row r="46" spans="3:16" ht="27" customHeight="1" x14ac:dyDescent="0.45">
      <c r="C46" s="41"/>
      <c r="P46" s="43"/>
    </row>
    <row r="47" spans="3:16" ht="27.75" customHeight="1" x14ac:dyDescent="0.45">
      <c r="C47" s="212" t="s">
        <v>302</v>
      </c>
      <c r="D47" s="213"/>
      <c r="E47" s="213"/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4"/>
    </row>
    <row r="48" spans="3:16" ht="27.75" customHeight="1" x14ac:dyDescent="0.45">
      <c r="C48" s="155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7"/>
    </row>
    <row r="49" spans="3:16" ht="60" customHeight="1" x14ac:dyDescent="0.45">
      <c r="C49" s="212" t="s">
        <v>303</v>
      </c>
      <c r="D49" s="232"/>
      <c r="E49" s="232"/>
      <c r="F49" s="232"/>
      <c r="G49" s="232"/>
      <c r="H49" s="232"/>
      <c r="I49" s="232"/>
      <c r="J49" s="232"/>
      <c r="K49" s="232"/>
      <c r="L49" s="232"/>
      <c r="M49" s="232"/>
      <c r="N49" s="232"/>
      <c r="O49" s="232"/>
      <c r="P49" s="233"/>
    </row>
    <row r="50" spans="3:16" ht="27.75" customHeight="1" x14ac:dyDescent="0.45">
      <c r="C50" s="41"/>
      <c r="P50" s="43"/>
    </row>
    <row r="51" spans="3:16" ht="27.75" customHeight="1" x14ac:dyDescent="0.45">
      <c r="C51" s="227" t="s">
        <v>167</v>
      </c>
      <c r="D51" s="228"/>
      <c r="E51" s="228"/>
      <c r="F51" s="228"/>
      <c r="G51" s="228"/>
      <c r="H51" s="228"/>
      <c r="I51" s="228"/>
      <c r="J51" s="228"/>
      <c r="K51" s="228"/>
      <c r="L51" s="228"/>
      <c r="M51" s="228"/>
      <c r="N51" s="228"/>
      <c r="O51" s="228"/>
      <c r="P51" s="43"/>
    </row>
    <row r="52" spans="3:16" ht="33.75" customHeight="1" x14ac:dyDescent="0.45">
      <c r="C52" s="41"/>
      <c r="P52" s="43"/>
    </row>
    <row r="53" spans="3:16" ht="33.75" customHeight="1" x14ac:dyDescent="0.45">
      <c r="C53" s="41"/>
      <c r="P53" s="43"/>
    </row>
    <row r="54" spans="3:16" ht="15" customHeight="1" x14ac:dyDescent="0.45">
      <c r="C54" s="41"/>
      <c r="P54" s="43"/>
    </row>
    <row r="55" spans="3:16" ht="24" customHeight="1" x14ac:dyDescent="0.45">
      <c r="C55" s="229" t="s">
        <v>101</v>
      </c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1"/>
    </row>
    <row r="56" spans="3:16" ht="24" customHeight="1" x14ac:dyDescent="0.45">
      <c r="C56" s="209" t="s">
        <v>102</v>
      </c>
      <c r="D56" s="210"/>
      <c r="E56" s="210"/>
      <c r="F56" s="210"/>
      <c r="G56" s="210"/>
      <c r="H56" s="210"/>
      <c r="I56" s="210"/>
      <c r="J56" s="210"/>
      <c r="K56" s="210"/>
      <c r="L56" s="210"/>
      <c r="M56" s="210"/>
      <c r="N56" s="210"/>
      <c r="O56" s="210"/>
      <c r="P56" s="211"/>
    </row>
    <row r="57" spans="3:16" ht="26.25" customHeight="1" x14ac:dyDescent="0.45">
      <c r="C57" s="41"/>
      <c r="P57" s="43"/>
    </row>
    <row r="58" spans="3:16" ht="26.25" customHeight="1" x14ac:dyDescent="0.45">
      <c r="C58" s="41"/>
      <c r="P58" s="43"/>
    </row>
    <row r="59" spans="3:16" ht="26.25" customHeight="1" thickBot="1" x14ac:dyDescent="0.5">
      <c r="C59" s="169"/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1"/>
    </row>
    <row r="60" spans="3:16" ht="21" customHeight="1" x14ac:dyDescent="0.45"/>
    <row r="61" spans="3:16" ht="21" customHeight="1" x14ac:dyDescent="0.45"/>
  </sheetData>
  <mergeCells count="49">
    <mergeCell ref="O29:P29"/>
    <mergeCell ref="G31:H31"/>
    <mergeCell ref="I31:J31"/>
    <mergeCell ref="C6:P6"/>
    <mergeCell ref="C13:P13"/>
    <mergeCell ref="C14:P14"/>
    <mergeCell ref="C24:P25"/>
    <mergeCell ref="C27:P27"/>
    <mergeCell ref="M30:N30"/>
    <mergeCell ref="O30:P30"/>
    <mergeCell ref="K31:L31"/>
    <mergeCell ref="M31:N31"/>
    <mergeCell ref="O31:P31"/>
    <mergeCell ref="G29:H29"/>
    <mergeCell ref="I29:J29"/>
    <mergeCell ref="G30:H30"/>
    <mergeCell ref="I30:J30"/>
    <mergeCell ref="K30:L30"/>
    <mergeCell ref="K29:L29"/>
    <mergeCell ref="M32:N32"/>
    <mergeCell ref="M29:N29"/>
    <mergeCell ref="O32:P32"/>
    <mergeCell ref="G33:H33"/>
    <mergeCell ref="I33:J33"/>
    <mergeCell ref="K33:L33"/>
    <mergeCell ref="M33:N33"/>
    <mergeCell ref="O33:P33"/>
    <mergeCell ref="G32:H32"/>
    <mergeCell ref="I32:J32"/>
    <mergeCell ref="K32:L32"/>
    <mergeCell ref="C35:E35"/>
    <mergeCell ref="G35:H35"/>
    <mergeCell ref="I35:L35"/>
    <mergeCell ref="M35:N35"/>
    <mergeCell ref="O35:P35"/>
    <mergeCell ref="G34:H34"/>
    <mergeCell ref="I34:J34"/>
    <mergeCell ref="K34:L34"/>
    <mergeCell ref="M34:N34"/>
    <mergeCell ref="O34:P34"/>
    <mergeCell ref="C56:P56"/>
    <mergeCell ref="C47:P47"/>
    <mergeCell ref="C37:P38"/>
    <mergeCell ref="C40:P41"/>
    <mergeCell ref="C51:O51"/>
    <mergeCell ref="C55:P55"/>
    <mergeCell ref="C49:P49"/>
    <mergeCell ref="C43:P43"/>
    <mergeCell ref="C45:P45"/>
  </mergeCells>
  <pageMargins left="0.511811024" right="0.511811024" top="0.78740157499999996" bottom="0.78740157499999996" header="0.31496062000000002" footer="0.31496062000000002"/>
  <pageSetup paperSize="9" scale="45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C188B-6F3B-441C-8C72-26284BBCA693}">
  <dimension ref="C2:L179"/>
  <sheetViews>
    <sheetView showGridLines="0" topLeftCell="A21" zoomScale="70" zoomScaleNormal="70" zoomScaleSheetLayoutView="70" workbookViewId="0">
      <pane xSplit="8" ySplit="8" topLeftCell="I113" activePane="bottomRight" state="frozen"/>
      <selection activeCell="A21" sqref="A21"/>
      <selection pane="topRight" activeCell="I21" sqref="I21"/>
      <selection pane="bottomLeft" activeCell="A29" sqref="A29"/>
      <selection pane="bottomRight" activeCell="K121" sqref="K121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1" ht="15" customHeight="1" x14ac:dyDescent="0.35">
      <c r="C2" s="272" t="s">
        <v>0</v>
      </c>
      <c r="D2" s="272"/>
      <c r="E2" s="272"/>
      <c r="F2" s="272"/>
      <c r="G2" s="272"/>
      <c r="H2" s="272"/>
      <c r="I2" s="272"/>
    </row>
    <row r="4" spans="3:11" ht="15" customHeight="1" x14ac:dyDescent="0.35">
      <c r="C4" s="280" t="s">
        <v>1</v>
      </c>
      <c r="D4" s="281"/>
      <c r="E4" s="281"/>
      <c r="F4" s="281"/>
      <c r="G4" s="282"/>
      <c r="H4" s="292" t="s">
        <v>172</v>
      </c>
      <c r="I4" s="293"/>
      <c r="J4" s="304"/>
      <c r="K4" s="304"/>
    </row>
    <row r="5" spans="3:11" ht="15" customHeight="1" x14ac:dyDescent="0.35">
      <c r="C5" s="280" t="s">
        <v>2</v>
      </c>
      <c r="D5" s="281"/>
      <c r="E5" s="281"/>
      <c r="F5" s="281"/>
      <c r="G5" s="282"/>
      <c r="H5" s="294" t="s">
        <v>171</v>
      </c>
      <c r="I5" s="295"/>
      <c r="J5" s="306"/>
      <c r="K5" s="307"/>
    </row>
    <row r="7" spans="3:11" ht="15" customHeight="1" x14ac:dyDescent="0.35">
      <c r="C7" s="296" t="s">
        <v>140</v>
      </c>
      <c r="D7" s="296"/>
      <c r="E7" s="296"/>
      <c r="F7" s="296"/>
      <c r="G7" s="296"/>
      <c r="H7" s="296"/>
    </row>
    <row r="9" spans="3:11" ht="15" customHeight="1" x14ac:dyDescent="0.35">
      <c r="C9" s="277" t="s">
        <v>3</v>
      </c>
      <c r="D9" s="277"/>
      <c r="E9" s="277"/>
      <c r="F9" s="277"/>
      <c r="G9" s="277"/>
      <c r="H9" s="277"/>
      <c r="I9" s="277"/>
    </row>
    <row r="10" spans="3:11" ht="15" customHeight="1" x14ac:dyDescent="0.35">
      <c r="C10" s="38" t="s">
        <v>4</v>
      </c>
      <c r="D10" s="267" t="s">
        <v>5</v>
      </c>
      <c r="E10" s="267"/>
      <c r="F10" s="267"/>
      <c r="G10" s="267"/>
      <c r="H10" s="297">
        <v>45887</v>
      </c>
      <c r="I10" s="298"/>
      <c r="J10" s="308"/>
      <c r="K10" s="308"/>
    </row>
    <row r="11" spans="3:11" ht="15" customHeight="1" x14ac:dyDescent="0.35">
      <c r="C11" s="38" t="s">
        <v>6</v>
      </c>
      <c r="D11" s="267" t="s">
        <v>7</v>
      </c>
      <c r="E11" s="267"/>
      <c r="F11" s="267"/>
      <c r="G11" s="267"/>
      <c r="H11" s="286" t="s">
        <v>57</v>
      </c>
      <c r="I11" s="299"/>
      <c r="J11" s="309"/>
      <c r="K11" s="309"/>
    </row>
    <row r="12" spans="3:11" ht="15" customHeight="1" x14ac:dyDescent="0.35">
      <c r="C12" s="38" t="s">
        <v>8</v>
      </c>
      <c r="D12" s="267" t="s">
        <v>9</v>
      </c>
      <c r="E12" s="267"/>
      <c r="F12" s="267"/>
      <c r="G12" s="267"/>
      <c r="H12" s="286">
        <v>2024</v>
      </c>
      <c r="I12" s="299"/>
      <c r="J12" s="309"/>
      <c r="K12" s="309"/>
    </row>
    <row r="13" spans="3:11" ht="15" customHeight="1" x14ac:dyDescent="0.35">
      <c r="C13" s="154" t="s">
        <v>10</v>
      </c>
      <c r="D13" s="267" t="s">
        <v>13</v>
      </c>
      <c r="E13" s="267"/>
      <c r="F13" s="267"/>
      <c r="G13" s="267"/>
      <c r="H13" s="286">
        <v>12</v>
      </c>
      <c r="I13" s="299"/>
      <c r="J13" s="309"/>
      <c r="K13" s="309"/>
    </row>
    <row r="15" spans="3:11" ht="15" customHeight="1" x14ac:dyDescent="0.35">
      <c r="C15" s="277" t="s">
        <v>14</v>
      </c>
      <c r="D15" s="277"/>
      <c r="E15" s="277"/>
      <c r="F15" s="277"/>
      <c r="G15" s="277"/>
      <c r="H15" s="277"/>
      <c r="I15" s="277"/>
    </row>
    <row r="16" spans="3:11" ht="30" customHeight="1" x14ac:dyDescent="0.35">
      <c r="C16" s="268" t="s">
        <v>15</v>
      </c>
      <c r="D16" s="269"/>
      <c r="E16" s="270"/>
      <c r="F16" s="279" t="s">
        <v>38</v>
      </c>
      <c r="G16" s="279"/>
      <c r="H16" s="300" t="s">
        <v>136</v>
      </c>
      <c r="I16" s="301"/>
      <c r="J16" s="303"/>
      <c r="K16" s="303"/>
    </row>
    <row r="17" spans="3:12" ht="26.25" customHeight="1" x14ac:dyDescent="0.35">
      <c r="C17" s="288" t="s">
        <v>142</v>
      </c>
      <c r="D17" s="289"/>
      <c r="E17" s="290"/>
      <c r="F17" s="292" t="s">
        <v>53</v>
      </c>
      <c r="G17" s="292"/>
      <c r="H17" s="292">
        <v>1</v>
      </c>
      <c r="I17" s="293"/>
      <c r="J17" s="304"/>
      <c r="K17" s="304"/>
    </row>
    <row r="19" spans="3:12" ht="15" customHeight="1" x14ac:dyDescent="0.35">
      <c r="C19" s="265" t="s">
        <v>39</v>
      </c>
      <c r="D19" s="265"/>
      <c r="E19" s="265"/>
      <c r="F19" s="265"/>
      <c r="G19" s="265"/>
      <c r="H19" s="265"/>
      <c r="I19" s="265"/>
    </row>
    <row r="20" spans="3:12" ht="15" customHeight="1" x14ac:dyDescent="0.35">
      <c r="C20" s="265" t="s">
        <v>40</v>
      </c>
      <c r="D20" s="265"/>
      <c r="E20" s="265"/>
      <c r="F20" s="265"/>
      <c r="G20" s="265"/>
      <c r="H20" s="265"/>
      <c r="I20" s="265"/>
    </row>
    <row r="21" spans="3:12" ht="15" customHeight="1" x14ac:dyDescent="0.35">
      <c r="C21" s="286" t="s">
        <v>16</v>
      </c>
      <c r="D21" s="286"/>
      <c r="E21" s="286"/>
      <c r="F21" s="286"/>
      <c r="G21" s="286"/>
      <c r="H21" s="286"/>
      <c r="I21" s="286"/>
    </row>
    <row r="22" spans="3:12" ht="15" customHeight="1" x14ac:dyDescent="0.35">
      <c r="C22" s="38">
        <v>1</v>
      </c>
      <c r="D22" s="264" t="s">
        <v>41</v>
      </c>
      <c r="E22" s="264"/>
      <c r="F22" s="264"/>
      <c r="G22" s="264"/>
      <c r="H22" s="286" t="s">
        <v>152</v>
      </c>
      <c r="I22" s="286"/>
      <c r="J22" s="302" t="s">
        <v>152</v>
      </c>
      <c r="K22" s="302"/>
    </row>
    <row r="23" spans="3:12" ht="15" customHeight="1" x14ac:dyDescent="0.35">
      <c r="C23" s="38">
        <v>2</v>
      </c>
      <c r="D23" s="264" t="s">
        <v>65</v>
      </c>
      <c r="E23" s="264"/>
      <c r="F23" s="264"/>
      <c r="G23" s="264"/>
      <c r="H23" s="286" t="s">
        <v>116</v>
      </c>
      <c r="I23" s="286"/>
      <c r="J23" s="302" t="s">
        <v>116</v>
      </c>
      <c r="K23" s="302"/>
    </row>
    <row r="24" spans="3:12" ht="15" customHeight="1" x14ac:dyDescent="0.35">
      <c r="C24" s="38">
        <v>3</v>
      </c>
      <c r="D24" s="264" t="s">
        <v>42</v>
      </c>
      <c r="E24" s="264"/>
      <c r="F24" s="264"/>
      <c r="G24" s="264"/>
      <c r="H24" s="291">
        <v>2723.41</v>
      </c>
      <c r="I24" s="291"/>
      <c r="J24" s="305">
        <f>H24*1.05</f>
        <v>2859.5805</v>
      </c>
      <c r="K24" s="305"/>
    </row>
    <row r="25" spans="3:12" ht="15" customHeight="1" x14ac:dyDescent="0.35">
      <c r="C25" s="38">
        <v>4</v>
      </c>
      <c r="D25" s="264" t="s">
        <v>43</v>
      </c>
      <c r="E25" s="264"/>
      <c r="F25" s="264"/>
      <c r="G25" s="264"/>
      <c r="H25" s="286" t="s">
        <v>144</v>
      </c>
      <c r="I25" s="286"/>
      <c r="J25" s="302" t="s">
        <v>144</v>
      </c>
      <c r="K25" s="302"/>
    </row>
    <row r="26" spans="3:12" ht="15" customHeight="1" x14ac:dyDescent="0.35">
      <c r="C26" s="38">
        <v>5</v>
      </c>
      <c r="D26" s="264" t="s">
        <v>44</v>
      </c>
      <c r="E26" s="264"/>
      <c r="F26" s="264"/>
      <c r="G26" s="264"/>
      <c r="H26" s="286" t="s">
        <v>151</v>
      </c>
      <c r="I26" s="286"/>
      <c r="J26" s="302" t="s">
        <v>321</v>
      </c>
      <c r="K26" s="302"/>
    </row>
    <row r="28" spans="3:12" ht="15" customHeight="1" x14ac:dyDescent="0.35">
      <c r="C28" s="277" t="s">
        <v>17</v>
      </c>
      <c r="D28" s="277"/>
      <c r="E28" s="277"/>
      <c r="F28" s="277"/>
      <c r="G28" s="277"/>
      <c r="H28" s="277"/>
      <c r="I28" s="277"/>
    </row>
    <row r="29" spans="3:12" s="152" customFormat="1" ht="15" customHeight="1" x14ac:dyDescent="0.35">
      <c r="C29" s="153">
        <v>1</v>
      </c>
      <c r="D29" s="278" t="s">
        <v>18</v>
      </c>
      <c r="E29" s="278"/>
      <c r="F29" s="278"/>
      <c r="G29" s="278"/>
      <c r="H29" s="278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6" t="s">
        <v>45</v>
      </c>
      <c r="E30" s="276"/>
      <c r="F30" s="276"/>
      <c r="G30" s="276"/>
      <c r="H30" s="276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6" t="s">
        <v>46</v>
      </c>
      <c r="E31" s="276"/>
      <c r="F31" s="276"/>
      <c r="G31" s="276"/>
      <c r="H31" s="276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6" t="s">
        <v>47</v>
      </c>
      <c r="E32" s="276"/>
      <c r="F32" s="276"/>
      <c r="G32" s="276"/>
      <c r="H32" s="276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6" t="s">
        <v>48</v>
      </c>
      <c r="E33" s="276"/>
      <c r="F33" s="276"/>
      <c r="G33" s="276"/>
      <c r="H33" s="276"/>
      <c r="I33" s="2">
        <v>0</v>
      </c>
      <c r="K33" s="175">
        <v>0</v>
      </c>
    </row>
    <row r="34" spans="3:12" ht="15" customHeight="1" x14ac:dyDescent="0.35">
      <c r="C34" s="154" t="s">
        <v>11</v>
      </c>
      <c r="D34" s="276" t="s">
        <v>66</v>
      </c>
      <c r="E34" s="276"/>
      <c r="F34" s="276"/>
      <c r="G34" s="276"/>
      <c r="H34" s="276"/>
      <c r="I34" s="2">
        <v>0</v>
      </c>
      <c r="K34" s="175">
        <v>0</v>
      </c>
    </row>
    <row r="35" spans="3:12" ht="15" customHeight="1" x14ac:dyDescent="0.35">
      <c r="C35" s="154" t="s">
        <v>12</v>
      </c>
      <c r="D35" s="276" t="s">
        <v>67</v>
      </c>
      <c r="E35" s="276"/>
      <c r="F35" s="276"/>
      <c r="G35" s="276"/>
      <c r="H35" s="276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6" t="s">
        <v>49</v>
      </c>
      <c r="E36" s="276"/>
      <c r="F36" s="276"/>
      <c r="G36" s="276"/>
      <c r="H36" s="276"/>
      <c r="I36" s="2">
        <v>0</v>
      </c>
      <c r="K36" s="175">
        <v>0</v>
      </c>
    </row>
    <row r="37" spans="3:12" s="152" customFormat="1" ht="15" customHeight="1" x14ac:dyDescent="0.35">
      <c r="C37" s="283" t="s">
        <v>21</v>
      </c>
      <c r="D37" s="284"/>
      <c r="E37" s="284"/>
      <c r="F37" s="284"/>
      <c r="G37" s="284"/>
      <c r="H37" s="285"/>
      <c r="I37" s="6">
        <f>ROUND(SUM(I30:I36),2)</f>
        <v>3540.43</v>
      </c>
      <c r="J37" s="176"/>
      <c r="K37" s="177">
        <f>ROUND(SUM(K30:K36),2)</f>
        <v>3717.45</v>
      </c>
      <c r="L37" s="5"/>
    </row>
    <row r="39" spans="3:12" ht="15" customHeight="1" x14ac:dyDescent="0.35">
      <c r="C39" s="272" t="s">
        <v>68</v>
      </c>
      <c r="D39" s="272"/>
      <c r="E39" s="272"/>
      <c r="F39" s="272"/>
      <c r="G39" s="272"/>
      <c r="H39" s="272"/>
      <c r="I39" s="272"/>
    </row>
    <row r="40" spans="3:12" ht="15" customHeight="1" x14ac:dyDescent="0.35">
      <c r="C40" s="277" t="s">
        <v>69</v>
      </c>
      <c r="D40" s="277"/>
      <c r="E40" s="277"/>
      <c r="F40" s="277"/>
      <c r="G40" s="277"/>
      <c r="H40" s="277"/>
      <c r="I40" s="277"/>
    </row>
    <row r="41" spans="3:12" ht="15" customHeight="1" x14ac:dyDescent="0.35">
      <c r="C41" s="153" t="s">
        <v>70</v>
      </c>
      <c r="D41" s="279" t="s">
        <v>63</v>
      </c>
      <c r="E41" s="279"/>
      <c r="F41" s="279"/>
      <c r="G41" s="279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6" t="s">
        <v>71</v>
      </c>
      <c r="E42" s="276"/>
      <c r="F42" s="276"/>
      <c r="G42" s="276"/>
      <c r="H42" s="7">
        <v>8.3299999999999999E-2</v>
      </c>
      <c r="I42" s="2">
        <f>ROUND(I$37*H42,2)</f>
        <v>294.92</v>
      </c>
      <c r="J42" s="178">
        <v>8.3299999999999999E-2</v>
      </c>
      <c r="K42" s="175">
        <f>ROUND(K$37*J42,2)</f>
        <v>309.66000000000003</v>
      </c>
    </row>
    <row r="43" spans="3:12" ht="15" customHeight="1" x14ac:dyDescent="0.35">
      <c r="C43" s="38" t="s">
        <v>6</v>
      </c>
      <c r="D43" s="276" t="s">
        <v>72</v>
      </c>
      <c r="E43" s="276"/>
      <c r="F43" s="276"/>
      <c r="G43" s="276"/>
      <c r="H43" s="7">
        <v>0.121</v>
      </c>
      <c r="I43" s="2">
        <f>ROUND(I$37*H43,2)</f>
        <v>428.39</v>
      </c>
      <c r="J43" s="178">
        <v>0.121</v>
      </c>
      <c r="K43" s="175">
        <f>ROUND(K$37*J43,2)</f>
        <v>449.81</v>
      </c>
    </row>
    <row r="44" spans="3:12" ht="15" customHeight="1" x14ac:dyDescent="0.35">
      <c r="C44" s="268" t="s">
        <v>73</v>
      </c>
      <c r="D44" s="269"/>
      <c r="E44" s="269"/>
      <c r="F44" s="269"/>
      <c r="G44" s="270"/>
      <c r="H44" s="8">
        <f>SUM(H42:H43)</f>
        <v>0.20429999999999998</v>
      </c>
      <c r="I44" s="9">
        <f>SUM(I42:I43)</f>
        <v>723.31</v>
      </c>
      <c r="J44" s="179">
        <f>SUM(J42:J43)</f>
        <v>0.20429999999999998</v>
      </c>
      <c r="K44" s="180">
        <f>SUM(K42:K43)</f>
        <v>759.47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72" t="s">
        <v>74</v>
      </c>
      <c r="D46" s="272"/>
      <c r="E46" s="272"/>
      <c r="F46" s="272"/>
      <c r="G46" s="272"/>
      <c r="H46" s="272"/>
      <c r="I46" s="272"/>
    </row>
    <row r="47" spans="3:12" s="152" customFormat="1" ht="15" customHeight="1" x14ac:dyDescent="0.35">
      <c r="C47" s="153" t="s">
        <v>75</v>
      </c>
      <c r="D47" s="279" t="s">
        <v>76</v>
      </c>
      <c r="E47" s="279"/>
      <c r="F47" s="279"/>
      <c r="G47" s="279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6" t="s">
        <v>25</v>
      </c>
      <c r="E48" s="276"/>
      <c r="F48" s="276"/>
      <c r="G48" s="276"/>
      <c r="H48" s="7">
        <v>0.2</v>
      </c>
      <c r="I48" s="2">
        <f t="shared" ref="I48:I55" si="0">ROUND(H48*($I$37+$I$44),2)</f>
        <v>852.75</v>
      </c>
      <c r="J48" s="178">
        <v>0.2</v>
      </c>
      <c r="K48" s="175">
        <f>ROUND(J48*($K$37+$K$44),2)</f>
        <v>895.38</v>
      </c>
    </row>
    <row r="49" spans="3:11" ht="15" customHeight="1" x14ac:dyDescent="0.35">
      <c r="C49" s="38" t="s">
        <v>6</v>
      </c>
      <c r="D49" s="276" t="s">
        <v>27</v>
      </c>
      <c r="E49" s="276"/>
      <c r="F49" s="276"/>
      <c r="G49" s="276"/>
      <c r="H49" s="7">
        <v>2.5000000000000001E-2</v>
      </c>
      <c r="I49" s="2">
        <f t="shared" si="0"/>
        <v>106.59</v>
      </c>
      <c r="J49" s="178">
        <v>2.5000000000000001E-2</v>
      </c>
      <c r="K49" s="175">
        <f t="shared" ref="K49:K54" si="1">ROUND(J49*($K$37+$K$44),2)</f>
        <v>111.92</v>
      </c>
    </row>
    <row r="50" spans="3:11" ht="15" customHeight="1" x14ac:dyDescent="0.35">
      <c r="C50" s="38" t="s">
        <v>8</v>
      </c>
      <c r="D50" s="276" t="s">
        <v>149</v>
      </c>
      <c r="E50" s="276"/>
      <c r="F50" s="276"/>
      <c r="G50" s="276"/>
      <c r="H50" s="7">
        <f>ROUND(3%*1.111,4)</f>
        <v>3.3300000000000003E-2</v>
      </c>
      <c r="I50" s="2">
        <f t="shared" si="0"/>
        <v>141.97999999999999</v>
      </c>
      <c r="J50" s="178">
        <f>ROUND(3%*1.111,4)</f>
        <v>3.3300000000000003E-2</v>
      </c>
      <c r="K50" s="175">
        <f t="shared" si="1"/>
        <v>149.08000000000001</v>
      </c>
    </row>
    <row r="51" spans="3:11" ht="15" customHeight="1" x14ac:dyDescent="0.35">
      <c r="C51" s="38" t="s">
        <v>10</v>
      </c>
      <c r="D51" s="276" t="s">
        <v>77</v>
      </c>
      <c r="E51" s="276"/>
      <c r="F51" s="276"/>
      <c r="G51" s="276"/>
      <c r="H51" s="7">
        <v>1.4999999999999999E-2</v>
      </c>
      <c r="I51" s="2">
        <f t="shared" si="0"/>
        <v>63.96</v>
      </c>
      <c r="J51" s="178">
        <v>1.4999999999999999E-2</v>
      </c>
      <c r="K51" s="175">
        <f t="shared" si="1"/>
        <v>67.150000000000006</v>
      </c>
    </row>
    <row r="52" spans="3:11" ht="15" customHeight="1" x14ac:dyDescent="0.35">
      <c r="C52" s="38" t="s">
        <v>11</v>
      </c>
      <c r="D52" s="276" t="s">
        <v>78</v>
      </c>
      <c r="E52" s="276"/>
      <c r="F52" s="276"/>
      <c r="G52" s="276"/>
      <c r="H52" s="7">
        <v>0.01</v>
      </c>
      <c r="I52" s="2">
        <f t="shared" si="0"/>
        <v>42.64</v>
      </c>
      <c r="J52" s="178">
        <v>0.01</v>
      </c>
      <c r="K52" s="175">
        <f t="shared" si="1"/>
        <v>44.77</v>
      </c>
    </row>
    <row r="53" spans="3:11" ht="15" customHeight="1" x14ac:dyDescent="0.35">
      <c r="C53" s="38" t="s">
        <v>12</v>
      </c>
      <c r="D53" s="276" t="s">
        <v>31</v>
      </c>
      <c r="E53" s="276"/>
      <c r="F53" s="276"/>
      <c r="G53" s="276"/>
      <c r="H53" s="7">
        <v>6.0000000000000001E-3</v>
      </c>
      <c r="I53" s="2">
        <f t="shared" si="0"/>
        <v>25.58</v>
      </c>
      <c r="J53" s="178">
        <v>6.0000000000000001E-3</v>
      </c>
      <c r="K53" s="175">
        <f t="shared" si="1"/>
        <v>26.86</v>
      </c>
    </row>
    <row r="54" spans="3:11" ht="15" customHeight="1" x14ac:dyDescent="0.35">
      <c r="C54" s="38" t="s">
        <v>29</v>
      </c>
      <c r="D54" s="276" t="s">
        <v>26</v>
      </c>
      <c r="E54" s="276"/>
      <c r="F54" s="276"/>
      <c r="G54" s="276"/>
      <c r="H54" s="7">
        <v>2E-3</v>
      </c>
      <c r="I54" s="2">
        <f t="shared" si="0"/>
        <v>8.5299999999999994</v>
      </c>
      <c r="J54" s="178">
        <v>2E-3</v>
      </c>
      <c r="K54" s="175">
        <f t="shared" si="1"/>
        <v>8.9499999999999993</v>
      </c>
    </row>
    <row r="55" spans="3:11" ht="15" customHeight="1" x14ac:dyDescent="0.35">
      <c r="C55" s="38" t="s">
        <v>30</v>
      </c>
      <c r="D55" s="276" t="s">
        <v>28</v>
      </c>
      <c r="E55" s="276"/>
      <c r="F55" s="276"/>
      <c r="G55" s="276"/>
      <c r="H55" s="7">
        <v>0.08</v>
      </c>
      <c r="I55" s="2">
        <f t="shared" si="0"/>
        <v>341.1</v>
      </c>
      <c r="J55" s="178">
        <v>0.08</v>
      </c>
      <c r="K55" s="175">
        <f>ROUND(J55*($K$37+$K$44),2)</f>
        <v>358.15</v>
      </c>
    </row>
    <row r="56" spans="3:11" ht="15" customHeight="1" x14ac:dyDescent="0.35">
      <c r="C56" s="279" t="s">
        <v>73</v>
      </c>
      <c r="D56" s="279"/>
      <c r="E56" s="279"/>
      <c r="F56" s="279"/>
      <c r="G56" s="279"/>
      <c r="H56" s="10">
        <f>ROUND(SUM(H48:H55),4)</f>
        <v>0.37130000000000002</v>
      </c>
      <c r="I56" s="9">
        <f>ROUND(SUM(I48:I55),4)</f>
        <v>1583.13</v>
      </c>
      <c r="J56" s="181">
        <f>ROUND(SUM(J48:J55),4)</f>
        <v>0.37130000000000002</v>
      </c>
      <c r="K56" s="180">
        <f>ROUND(SUM(K48:K55),4)</f>
        <v>1662.26</v>
      </c>
    </row>
    <row r="58" spans="3:11" ht="15" customHeight="1" x14ac:dyDescent="0.35">
      <c r="C58" s="287" t="s">
        <v>79</v>
      </c>
      <c r="D58" s="287"/>
      <c r="E58" s="287"/>
      <c r="F58" s="287"/>
      <c r="G58" s="287"/>
      <c r="H58" s="287"/>
      <c r="I58" s="287"/>
    </row>
    <row r="59" spans="3:11" ht="15" customHeight="1" x14ac:dyDescent="0.35">
      <c r="C59" s="153" t="s">
        <v>80</v>
      </c>
      <c r="D59" s="278" t="s">
        <v>22</v>
      </c>
      <c r="E59" s="278"/>
      <c r="F59" s="278"/>
      <c r="G59" s="278"/>
      <c r="H59" s="278"/>
      <c r="I59" s="153" t="s">
        <v>20</v>
      </c>
      <c r="K59" s="174" t="s">
        <v>20</v>
      </c>
    </row>
    <row r="60" spans="3:11" ht="15" customHeight="1" x14ac:dyDescent="0.35">
      <c r="C60" s="286" t="s">
        <v>4</v>
      </c>
      <c r="D60" s="264" t="s">
        <v>56</v>
      </c>
      <c r="E60" s="264"/>
      <c r="F60" s="264"/>
      <c r="G60" s="264"/>
      <c r="H60" s="264"/>
      <c r="I60" s="1">
        <f>ROUND(11*11,2)</f>
        <v>121</v>
      </c>
      <c r="K60" s="182">
        <f>ROUND(11*11,2)</f>
        <v>121</v>
      </c>
    </row>
    <row r="61" spans="3:11" ht="15" customHeight="1" x14ac:dyDescent="0.35">
      <c r="C61" s="286"/>
      <c r="D61" s="264" t="s">
        <v>64</v>
      </c>
      <c r="E61" s="264"/>
      <c r="F61" s="264"/>
      <c r="G61" s="264"/>
      <c r="H61" s="264"/>
      <c r="I61" s="1">
        <f>ROUND(IF((I30*-6%)&lt;=(-I60),-I60,(I30*-6%)),2)</f>
        <v>-121</v>
      </c>
      <c r="K61" s="182">
        <f>ROUND(IF((K30*-6%)&lt;=(-K60),-K60,(K30*-6%)),2)</f>
        <v>-121</v>
      </c>
    </row>
    <row r="62" spans="3:11" ht="15" customHeight="1" x14ac:dyDescent="0.35">
      <c r="C62" s="38" t="s">
        <v>6</v>
      </c>
      <c r="D62" s="264" t="s">
        <v>220</v>
      </c>
      <c r="E62" s="264"/>
      <c r="F62" s="264"/>
      <c r="G62" s="264"/>
      <c r="H62" s="264"/>
      <c r="I62" s="2">
        <f>46.42*11</f>
        <v>510.62</v>
      </c>
      <c r="K62" s="175">
        <f>49.63*11</f>
        <v>545.93000000000006</v>
      </c>
    </row>
    <row r="63" spans="3:11" ht="15" customHeight="1" x14ac:dyDescent="0.35">
      <c r="C63" s="38" t="s">
        <v>8</v>
      </c>
      <c r="D63" s="264" t="s">
        <v>117</v>
      </c>
      <c r="E63" s="264"/>
      <c r="F63" s="264"/>
      <c r="G63" s="264"/>
      <c r="H63" s="264"/>
      <c r="I63" s="2">
        <v>0</v>
      </c>
      <c r="K63" s="175">
        <v>0</v>
      </c>
    </row>
    <row r="64" spans="3:11" ht="15" customHeight="1" x14ac:dyDescent="0.35">
      <c r="C64" s="38" t="s">
        <v>10</v>
      </c>
      <c r="D64" s="264" t="s">
        <v>104</v>
      </c>
      <c r="E64" s="264"/>
      <c r="F64" s="264"/>
      <c r="G64" s="264"/>
      <c r="H64" s="264"/>
      <c r="I64" s="2">
        <v>22.93</v>
      </c>
      <c r="K64" s="175">
        <v>22.93</v>
      </c>
    </row>
    <row r="65" spans="3:12" ht="15" customHeight="1" x14ac:dyDescent="0.35">
      <c r="C65" s="38" t="s">
        <v>11</v>
      </c>
      <c r="D65" s="264" t="s">
        <v>118</v>
      </c>
      <c r="E65" s="264"/>
      <c r="F65" s="264"/>
      <c r="G65" s="264"/>
      <c r="H65" s="264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64" t="s">
        <v>322</v>
      </c>
      <c r="E66" s="264"/>
      <c r="F66" s="264"/>
      <c r="G66" s="264"/>
      <c r="H66" s="264"/>
      <c r="I66" s="2">
        <v>0</v>
      </c>
      <c r="K66" s="175">
        <v>25</v>
      </c>
    </row>
    <row r="67" spans="3:12" ht="15" customHeight="1" x14ac:dyDescent="0.35">
      <c r="C67" s="279" t="s">
        <v>73</v>
      </c>
      <c r="D67" s="279"/>
      <c r="E67" s="279"/>
      <c r="F67" s="279"/>
      <c r="G67" s="279"/>
      <c r="H67" s="279"/>
      <c r="I67" s="6">
        <f>ROUND(SUM(I60:I66),2)</f>
        <v>533.54999999999995</v>
      </c>
      <c r="K67" s="177">
        <f>ROUND(SUM(K60:K66),2)</f>
        <v>593.86</v>
      </c>
    </row>
    <row r="68" spans="3:12" ht="15" customHeight="1" x14ac:dyDescent="0.35">
      <c r="D68" s="36"/>
    </row>
    <row r="69" spans="3:12" ht="15" customHeight="1" x14ac:dyDescent="0.35">
      <c r="C69" s="277" t="s">
        <v>81</v>
      </c>
      <c r="D69" s="277"/>
      <c r="E69" s="277"/>
      <c r="F69" s="277"/>
      <c r="G69" s="277"/>
      <c r="H69" s="277"/>
      <c r="I69" s="277"/>
    </row>
    <row r="70" spans="3:12" ht="15" customHeight="1" x14ac:dyDescent="0.35">
      <c r="C70" s="153">
        <v>2</v>
      </c>
      <c r="D70" s="279" t="s">
        <v>34</v>
      </c>
      <c r="E70" s="279"/>
      <c r="F70" s="279"/>
      <c r="G70" s="279"/>
      <c r="H70" s="279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6" t="s">
        <v>82</v>
      </c>
      <c r="E71" s="276"/>
      <c r="F71" s="276"/>
      <c r="G71" s="276"/>
      <c r="H71" s="7">
        <f>H44</f>
        <v>0.20429999999999998</v>
      </c>
      <c r="I71" s="11">
        <f>ROUND(I44,2)</f>
        <v>723.31</v>
      </c>
      <c r="J71" s="178">
        <f>J44</f>
        <v>0.20429999999999998</v>
      </c>
      <c r="K71" s="183">
        <f>ROUND(K44,2)</f>
        <v>759.47</v>
      </c>
    </row>
    <row r="72" spans="3:12" ht="15" customHeight="1" x14ac:dyDescent="0.35">
      <c r="C72" s="154" t="s">
        <v>75</v>
      </c>
      <c r="D72" s="276" t="s">
        <v>76</v>
      </c>
      <c r="E72" s="276"/>
      <c r="F72" s="276"/>
      <c r="G72" s="276"/>
      <c r="H72" s="7">
        <f>H56</f>
        <v>0.37130000000000002</v>
      </c>
      <c r="I72" s="11">
        <f>ROUND(I56,2)</f>
        <v>1583.13</v>
      </c>
      <c r="J72" s="178">
        <f>J56</f>
        <v>0.37130000000000002</v>
      </c>
      <c r="K72" s="183">
        <f>ROUND(K56,2)</f>
        <v>1662.26</v>
      </c>
    </row>
    <row r="73" spans="3:12" ht="15" customHeight="1" x14ac:dyDescent="0.35">
      <c r="C73" s="154" t="s">
        <v>80</v>
      </c>
      <c r="D73" s="273" t="s">
        <v>22</v>
      </c>
      <c r="E73" s="274"/>
      <c r="F73" s="274"/>
      <c r="G73" s="274"/>
      <c r="H73" s="275"/>
      <c r="I73" s="11">
        <f>ROUND(I67,2)</f>
        <v>533.54999999999995</v>
      </c>
      <c r="K73" s="183">
        <f>ROUND(K67,2)</f>
        <v>593.86</v>
      </c>
    </row>
    <row r="74" spans="3:12" ht="15" customHeight="1" x14ac:dyDescent="0.35">
      <c r="C74" s="279" t="s">
        <v>35</v>
      </c>
      <c r="D74" s="279"/>
      <c r="E74" s="279"/>
      <c r="F74" s="279"/>
      <c r="G74" s="279"/>
      <c r="H74" s="10">
        <f>ROUND(SUM(H71:H73),4)</f>
        <v>0.5756</v>
      </c>
      <c r="I74" s="9">
        <f>ROUND(SUM(I71:I73),2)</f>
        <v>2839.99</v>
      </c>
      <c r="J74" s="181">
        <f>ROUND(SUM(J71:J73),4)</f>
        <v>0.5756</v>
      </c>
      <c r="K74" s="180">
        <f>ROUND(SUM(K71:K73),2)</f>
        <v>3015.59</v>
      </c>
    </row>
    <row r="75" spans="3:12" ht="15" customHeight="1" x14ac:dyDescent="0.35">
      <c r="D75" s="36"/>
    </row>
    <row r="76" spans="3:12" ht="15" customHeight="1" x14ac:dyDescent="0.35">
      <c r="C76" s="277" t="s">
        <v>83</v>
      </c>
      <c r="D76" s="277"/>
      <c r="E76" s="277"/>
      <c r="F76" s="277"/>
      <c r="G76" s="277"/>
      <c r="H76" s="277"/>
      <c r="I76" s="277"/>
    </row>
    <row r="77" spans="3:12" ht="15" customHeight="1" x14ac:dyDescent="0.35">
      <c r="C77" s="153">
        <v>3</v>
      </c>
      <c r="D77" s="279" t="s">
        <v>33</v>
      </c>
      <c r="E77" s="279"/>
      <c r="F77" s="279"/>
      <c r="G77" s="279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6" t="s">
        <v>84</v>
      </c>
      <c r="E78" s="276"/>
      <c r="F78" s="276"/>
      <c r="G78" s="276"/>
      <c r="H78" s="7">
        <v>2.0000000000000001E-4</v>
      </c>
      <c r="I78" s="2">
        <f t="shared" ref="I78:I83" si="2">ROUND(I$37*H78,2)</f>
        <v>0.71</v>
      </c>
      <c r="J78" s="178">
        <v>2.0000000000000001E-4</v>
      </c>
      <c r="K78" s="175">
        <f t="shared" ref="K78:K83" si="3">ROUND(K$37*J78,2)</f>
        <v>0.74</v>
      </c>
    </row>
    <row r="79" spans="3:12" s="12" customFormat="1" ht="15" customHeight="1" x14ac:dyDescent="0.35">
      <c r="C79" s="154" t="s">
        <v>6</v>
      </c>
      <c r="D79" s="276" t="s">
        <v>55</v>
      </c>
      <c r="E79" s="276"/>
      <c r="F79" s="276"/>
      <c r="G79" s="276"/>
      <c r="H79" s="40">
        <f>ROUND(H78*H55,5)</f>
        <v>2.0000000000000002E-5</v>
      </c>
      <c r="I79" s="2">
        <f t="shared" si="2"/>
        <v>7.0000000000000007E-2</v>
      </c>
      <c r="J79" s="184">
        <f>ROUND(J78*J55,5)</f>
        <v>2.0000000000000002E-5</v>
      </c>
      <c r="K79" s="175">
        <f t="shared" si="3"/>
        <v>7.0000000000000007E-2</v>
      </c>
      <c r="L79" s="13"/>
    </row>
    <row r="80" spans="3:12" s="12" customFormat="1" ht="15" customHeight="1" x14ac:dyDescent="0.35">
      <c r="C80" s="154" t="s">
        <v>8</v>
      </c>
      <c r="D80" s="276" t="s">
        <v>85</v>
      </c>
      <c r="E80" s="276"/>
      <c r="F80" s="276"/>
      <c r="G80" s="276"/>
      <c r="H80" s="7">
        <v>3.9899999999999998E-2</v>
      </c>
      <c r="I80" s="2">
        <f t="shared" si="2"/>
        <v>141.26</v>
      </c>
      <c r="J80" s="178">
        <v>3.9899999999999998E-2</v>
      </c>
      <c r="K80" s="175">
        <f t="shared" si="3"/>
        <v>148.33000000000001</v>
      </c>
      <c r="L80" s="13"/>
    </row>
    <row r="81" spans="3:12" s="12" customFormat="1" ht="15" customHeight="1" x14ac:dyDescent="0.35">
      <c r="C81" s="154" t="s">
        <v>10</v>
      </c>
      <c r="D81" s="276" t="s">
        <v>86</v>
      </c>
      <c r="E81" s="276"/>
      <c r="F81" s="276"/>
      <c r="G81" s="276"/>
      <c r="H81" s="7">
        <v>2.0000000000000001E-4</v>
      </c>
      <c r="I81" s="2">
        <f t="shared" si="2"/>
        <v>0.71</v>
      </c>
      <c r="J81" s="178">
        <v>2.0000000000000001E-4</v>
      </c>
      <c r="K81" s="175">
        <f t="shared" si="3"/>
        <v>0.74</v>
      </c>
      <c r="L81" s="13"/>
    </row>
    <row r="82" spans="3:12" s="12" customFormat="1" ht="15" customHeight="1" x14ac:dyDescent="0.35">
      <c r="C82" s="154" t="s">
        <v>11</v>
      </c>
      <c r="D82" s="276" t="s">
        <v>87</v>
      </c>
      <c r="E82" s="276"/>
      <c r="F82" s="276"/>
      <c r="G82" s="276"/>
      <c r="H82" s="40">
        <f>ROUND(H81*H56,5)</f>
        <v>6.9999999999999994E-5</v>
      </c>
      <c r="I82" s="2">
        <f t="shared" si="2"/>
        <v>0.25</v>
      </c>
      <c r="J82" s="184">
        <f>ROUND(J81*J56,5)</f>
        <v>6.9999999999999994E-5</v>
      </c>
      <c r="K82" s="175">
        <f t="shared" si="3"/>
        <v>0.26</v>
      </c>
      <c r="L82" s="13"/>
    </row>
    <row r="83" spans="3:12" s="12" customFormat="1" ht="15" customHeight="1" x14ac:dyDescent="0.35">
      <c r="C83" s="154" t="s">
        <v>12</v>
      </c>
      <c r="D83" s="276" t="s">
        <v>88</v>
      </c>
      <c r="E83" s="276"/>
      <c r="F83" s="276"/>
      <c r="G83" s="276"/>
      <c r="H83" s="7">
        <v>1E-4</v>
      </c>
      <c r="I83" s="2">
        <f t="shared" si="2"/>
        <v>0.35</v>
      </c>
      <c r="J83" s="178">
        <v>1E-4</v>
      </c>
      <c r="K83" s="175">
        <f t="shared" si="3"/>
        <v>0.37</v>
      </c>
      <c r="L83" s="13"/>
    </row>
    <row r="84" spans="3:12" ht="15" customHeight="1" x14ac:dyDescent="0.35">
      <c r="C84" s="268" t="s">
        <v>73</v>
      </c>
      <c r="D84" s="269"/>
      <c r="E84" s="269"/>
      <c r="F84" s="269"/>
      <c r="G84" s="270"/>
      <c r="H84" s="8">
        <f>ROUND(SUM(H78:H83),4)</f>
        <v>4.0500000000000001E-2</v>
      </c>
      <c r="I84" s="9">
        <f>ROUND(SUM(I78:I83),2)</f>
        <v>143.35</v>
      </c>
      <c r="J84" s="179">
        <f>ROUND(SUM(J78:J83),4)</f>
        <v>4.0500000000000001E-2</v>
      </c>
      <c r="K84" s="180">
        <f>ROUND(SUM(K78:K83),2)</f>
        <v>150.51</v>
      </c>
    </row>
    <row r="86" spans="3:12" ht="15" customHeight="1" x14ac:dyDescent="0.35">
      <c r="C86" s="277" t="s">
        <v>89</v>
      </c>
      <c r="D86" s="277"/>
      <c r="E86" s="277"/>
      <c r="F86" s="277"/>
      <c r="G86" s="277"/>
      <c r="H86" s="277"/>
      <c r="I86" s="277"/>
    </row>
    <row r="87" spans="3:12" ht="15" customHeight="1" x14ac:dyDescent="0.35">
      <c r="C87" s="153" t="s">
        <v>24</v>
      </c>
      <c r="D87" s="279" t="s">
        <v>54</v>
      </c>
      <c r="E87" s="279"/>
      <c r="F87" s="279"/>
      <c r="G87" s="279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6" t="s">
        <v>105</v>
      </c>
      <c r="E88" s="276"/>
      <c r="F88" s="276"/>
      <c r="G88" s="276"/>
      <c r="H88" s="7">
        <v>2.9999999999999997E-4</v>
      </c>
      <c r="I88" s="2">
        <f t="shared" ref="I88:I93" si="4">ROUND(I$37*H88,2)</f>
        <v>1.06</v>
      </c>
      <c r="J88" s="178">
        <v>2.9999999999999997E-4</v>
      </c>
      <c r="K88" s="175">
        <f t="shared" ref="K88:K93" si="5">ROUND(K$37*J88,2)</f>
        <v>1.1200000000000001</v>
      </c>
    </row>
    <row r="89" spans="3:12" ht="15" customHeight="1" x14ac:dyDescent="0.35">
      <c r="C89" s="38" t="s">
        <v>6</v>
      </c>
      <c r="D89" s="276" t="s">
        <v>106</v>
      </c>
      <c r="E89" s="276"/>
      <c r="F89" s="276"/>
      <c r="G89" s="276"/>
      <c r="H89" s="7">
        <v>2.0000000000000001E-4</v>
      </c>
      <c r="I89" s="2">
        <f t="shared" si="4"/>
        <v>0.71</v>
      </c>
      <c r="J89" s="178">
        <v>2.0000000000000001E-4</v>
      </c>
      <c r="K89" s="175">
        <f t="shared" si="5"/>
        <v>0.74</v>
      </c>
    </row>
    <row r="90" spans="3:12" ht="15" customHeight="1" x14ac:dyDescent="0.35">
      <c r="C90" s="38" t="s">
        <v>8</v>
      </c>
      <c r="D90" s="276" t="s">
        <v>107</v>
      </c>
      <c r="E90" s="276"/>
      <c r="F90" s="276"/>
      <c r="G90" s="276"/>
      <c r="H90" s="7">
        <v>1E-4</v>
      </c>
      <c r="I90" s="2">
        <f t="shared" si="4"/>
        <v>0.35</v>
      </c>
      <c r="J90" s="178">
        <v>1E-4</v>
      </c>
      <c r="K90" s="175">
        <f t="shared" si="5"/>
        <v>0.37</v>
      </c>
    </row>
    <row r="91" spans="3:12" ht="15" customHeight="1" x14ac:dyDescent="0.35">
      <c r="C91" s="38" t="s">
        <v>10</v>
      </c>
      <c r="D91" s="276" t="s">
        <v>108</v>
      </c>
      <c r="E91" s="276"/>
      <c r="F91" s="276"/>
      <c r="G91" s="276"/>
      <c r="H91" s="7">
        <v>2.0000000000000001E-4</v>
      </c>
      <c r="I91" s="2">
        <f t="shared" si="4"/>
        <v>0.71</v>
      </c>
      <c r="J91" s="178">
        <v>2.0000000000000001E-4</v>
      </c>
      <c r="K91" s="175">
        <f t="shared" si="5"/>
        <v>0.74</v>
      </c>
    </row>
    <row r="92" spans="3:12" ht="15" customHeight="1" x14ac:dyDescent="0.35">
      <c r="C92" s="38" t="s">
        <v>11</v>
      </c>
      <c r="D92" s="276" t="s">
        <v>109</v>
      </c>
      <c r="E92" s="276"/>
      <c r="F92" s="276"/>
      <c r="G92" s="276"/>
      <c r="H92" s="7">
        <v>1E-4</v>
      </c>
      <c r="I92" s="2">
        <f t="shared" si="4"/>
        <v>0.35</v>
      </c>
      <c r="J92" s="178">
        <v>1E-4</v>
      </c>
      <c r="K92" s="175">
        <f t="shared" si="5"/>
        <v>0.37</v>
      </c>
    </row>
    <row r="93" spans="3:12" ht="15" customHeight="1" x14ac:dyDescent="0.35">
      <c r="C93" s="38" t="s">
        <v>12</v>
      </c>
      <c r="D93" s="276" t="s">
        <v>150</v>
      </c>
      <c r="E93" s="276"/>
      <c r="F93" s="276"/>
      <c r="G93" s="276"/>
      <c r="H93" s="7">
        <v>1E-4</v>
      </c>
      <c r="I93" s="2">
        <f t="shared" si="4"/>
        <v>0.35</v>
      </c>
      <c r="J93" s="178">
        <v>1E-4</v>
      </c>
      <c r="K93" s="175">
        <f t="shared" si="5"/>
        <v>0.37</v>
      </c>
    </row>
    <row r="94" spans="3:12" ht="15" customHeight="1" x14ac:dyDescent="0.35">
      <c r="C94" s="268" t="s">
        <v>73</v>
      </c>
      <c r="D94" s="269"/>
      <c r="E94" s="269"/>
      <c r="F94" s="269"/>
      <c r="G94" s="270"/>
      <c r="H94" s="8">
        <f>SUM(H88:H93)</f>
        <v>1E-3</v>
      </c>
      <c r="I94" s="9">
        <f>SUM(I88:I93)</f>
        <v>3.5300000000000002</v>
      </c>
      <c r="J94" s="179">
        <f>SUM(J88:J93)</f>
        <v>1E-3</v>
      </c>
      <c r="K94" s="180">
        <f>SUM(K88:K93)</f>
        <v>3.71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72" t="s">
        <v>110</v>
      </c>
      <c r="D96" s="272"/>
      <c r="E96" s="272"/>
      <c r="F96" s="272"/>
      <c r="G96" s="272"/>
      <c r="H96" s="272"/>
      <c r="I96" s="272"/>
    </row>
    <row r="97" spans="3:11" ht="15" customHeight="1" x14ac:dyDescent="0.35">
      <c r="C97" s="153" t="s">
        <v>32</v>
      </c>
      <c r="D97" s="268" t="s">
        <v>111</v>
      </c>
      <c r="E97" s="269"/>
      <c r="F97" s="269"/>
      <c r="G97" s="269"/>
      <c r="H97" s="270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73" t="s">
        <v>112</v>
      </c>
      <c r="E98" s="274"/>
      <c r="F98" s="274"/>
      <c r="G98" s="274"/>
      <c r="H98" s="275"/>
      <c r="I98" s="2">
        <f>ROUND((I30+I31)/220*0.5*11,2)</f>
        <v>88.51</v>
      </c>
      <c r="K98" s="175">
        <f>ROUND((K30+K31)/220*1.5*11,2)</f>
        <v>278.81</v>
      </c>
    </row>
    <row r="99" spans="3:11" ht="15" customHeight="1" x14ac:dyDescent="0.35">
      <c r="C99" s="268" t="s">
        <v>73</v>
      </c>
      <c r="D99" s="269"/>
      <c r="E99" s="269"/>
      <c r="F99" s="269"/>
      <c r="G99" s="269"/>
      <c r="H99" s="270"/>
      <c r="I99" s="9">
        <f>ROUND(SUM(I98:I98),2)</f>
        <v>88.51</v>
      </c>
      <c r="K99" s="180">
        <f>ROUND(SUM(K98:K98),2)</f>
        <v>278.81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72" t="s">
        <v>90</v>
      </c>
      <c r="D101" s="272"/>
      <c r="E101" s="272"/>
      <c r="F101" s="272"/>
      <c r="G101" s="272"/>
      <c r="H101" s="272"/>
      <c r="I101" s="272"/>
      <c r="K101" s="187"/>
    </row>
    <row r="102" spans="3:11" ht="15" customHeight="1" x14ac:dyDescent="0.35">
      <c r="C102" s="153">
        <v>4</v>
      </c>
      <c r="D102" s="268" t="s">
        <v>100</v>
      </c>
      <c r="E102" s="269"/>
      <c r="F102" s="269"/>
      <c r="G102" s="269"/>
      <c r="H102" s="270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73" t="s">
        <v>113</v>
      </c>
      <c r="E103" s="274"/>
      <c r="F103" s="274"/>
      <c r="G103" s="274"/>
      <c r="H103" s="275"/>
      <c r="I103" s="2">
        <f>ROUND(I94,2)</f>
        <v>3.53</v>
      </c>
      <c r="K103" s="175">
        <f>ROUND(K94,2)</f>
        <v>3.71</v>
      </c>
    </row>
    <row r="104" spans="3:11" ht="15" customHeight="1" x14ac:dyDescent="0.35">
      <c r="C104" s="17" t="s">
        <v>32</v>
      </c>
      <c r="D104" s="273" t="s">
        <v>111</v>
      </c>
      <c r="E104" s="274"/>
      <c r="F104" s="274"/>
      <c r="G104" s="274"/>
      <c r="H104" s="275"/>
      <c r="I104" s="2">
        <f>ROUND(I99,2)</f>
        <v>88.51</v>
      </c>
      <c r="K104" s="175">
        <f>ROUND(K99,2)</f>
        <v>278.81</v>
      </c>
    </row>
    <row r="105" spans="3:11" ht="15" customHeight="1" x14ac:dyDescent="0.35">
      <c r="C105" s="268" t="s">
        <v>73</v>
      </c>
      <c r="D105" s="269"/>
      <c r="E105" s="269"/>
      <c r="F105" s="269"/>
      <c r="G105" s="269"/>
      <c r="H105" s="270"/>
      <c r="I105" s="9">
        <f>ROUND(SUM(I103:I104),2)</f>
        <v>92.04</v>
      </c>
      <c r="K105" s="180">
        <f>ROUND(SUM(K103:K104),2)</f>
        <v>282.52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7" t="s">
        <v>91</v>
      </c>
      <c r="D107" s="277"/>
      <c r="E107" s="277"/>
      <c r="F107" s="277"/>
      <c r="G107" s="277"/>
      <c r="H107" s="277"/>
      <c r="I107" s="277"/>
      <c r="J107" s="187"/>
    </row>
    <row r="108" spans="3:11" ht="15" customHeight="1" x14ac:dyDescent="0.35">
      <c r="C108" s="153">
        <v>5</v>
      </c>
      <c r="D108" s="278" t="s">
        <v>23</v>
      </c>
      <c r="E108" s="278"/>
      <c r="F108" s="278"/>
      <c r="G108" s="278"/>
      <c r="H108" s="278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64" t="s">
        <v>173</v>
      </c>
      <c r="E109" s="264"/>
      <c r="F109" s="264"/>
      <c r="G109" s="264"/>
      <c r="H109" s="264"/>
      <c r="I109" s="2">
        <f>'unif equip'!G17</f>
        <v>92.16</v>
      </c>
      <c r="J109" s="187"/>
      <c r="K109" s="175">
        <f>'unif equip'!G17</f>
        <v>92.16</v>
      </c>
    </row>
    <row r="110" spans="3:11" ht="15" customHeight="1" x14ac:dyDescent="0.35">
      <c r="C110" s="38" t="s">
        <v>6</v>
      </c>
      <c r="D110" s="276" t="s">
        <v>174</v>
      </c>
      <c r="E110" s="264"/>
      <c r="F110" s="264"/>
      <c r="G110" s="264"/>
      <c r="H110" s="264"/>
      <c r="I110" s="2">
        <f>'unif equip'!H67</f>
        <v>4.8899999999999997</v>
      </c>
      <c r="J110" s="187"/>
      <c r="K110" s="175">
        <f>'unif equip'!H67</f>
        <v>4.8899999999999997</v>
      </c>
    </row>
    <row r="111" spans="3:11" ht="15" customHeight="1" x14ac:dyDescent="0.35">
      <c r="C111" s="38" t="s">
        <v>8</v>
      </c>
      <c r="D111" s="276" t="s">
        <v>175</v>
      </c>
      <c r="E111" s="264"/>
      <c r="F111" s="264"/>
      <c r="G111" s="264"/>
      <c r="H111" s="264"/>
      <c r="I111" s="2">
        <f>'unif equip'!H43</f>
        <v>45.69</v>
      </c>
      <c r="J111" s="187"/>
      <c r="K111" s="175">
        <f>'unif equip'!H43</f>
        <v>45.69</v>
      </c>
    </row>
    <row r="112" spans="3:11" ht="15" customHeight="1" x14ac:dyDescent="0.35">
      <c r="C112" s="38" t="s">
        <v>10</v>
      </c>
      <c r="D112" s="264" t="s">
        <v>176</v>
      </c>
      <c r="E112" s="264"/>
      <c r="F112" s="264"/>
      <c r="G112" s="264"/>
      <c r="H112" s="264"/>
      <c r="I112" s="2">
        <v>0</v>
      </c>
      <c r="J112" s="187"/>
      <c r="K112" s="175">
        <v>0</v>
      </c>
    </row>
    <row r="113" spans="3:11" ht="15" customHeight="1" x14ac:dyDescent="0.35">
      <c r="C113" s="268" t="s">
        <v>73</v>
      </c>
      <c r="D113" s="269"/>
      <c r="E113" s="269"/>
      <c r="F113" s="269"/>
      <c r="G113" s="269"/>
      <c r="H113" s="270"/>
      <c r="I113" s="6">
        <f>ROUND(SUM(I109:I112),2)</f>
        <v>142.74</v>
      </c>
      <c r="J113" s="187"/>
      <c r="K113" s="177">
        <f>ROUND(SUM(K109:K112),2)</f>
        <v>142.74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65" t="s">
        <v>92</v>
      </c>
      <c r="D115" s="265"/>
      <c r="E115" s="265"/>
      <c r="F115" s="265"/>
      <c r="G115" s="265"/>
      <c r="H115" s="265"/>
      <c r="I115" s="265"/>
    </row>
    <row r="116" spans="3:11" ht="15" customHeight="1" x14ac:dyDescent="0.35">
      <c r="C116" s="39">
        <v>6</v>
      </c>
      <c r="D116" s="271" t="s">
        <v>50</v>
      </c>
      <c r="E116" s="271"/>
      <c r="F116" s="271"/>
      <c r="G116" s="271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67" t="s">
        <v>93</v>
      </c>
      <c r="E117" s="267"/>
      <c r="F117" s="267"/>
      <c r="G117" s="267"/>
      <c r="H117" s="19">
        <v>0.01</v>
      </c>
      <c r="I117" s="20">
        <f>ROUND(H117*SUM($I$113,$I$105,$I$84,$I$74,$I$37),2)</f>
        <v>67.59</v>
      </c>
      <c r="J117" s="190">
        <v>0.01</v>
      </c>
      <c r="K117" s="191">
        <f>ROUND(J117*SUM($K$113,$K$105,$K$84,$K$74,$K$37),2)</f>
        <v>73.09</v>
      </c>
    </row>
    <row r="118" spans="3:11" ht="15" customHeight="1" x14ac:dyDescent="0.35">
      <c r="C118" s="38" t="s">
        <v>6</v>
      </c>
      <c r="D118" s="267" t="s">
        <v>94</v>
      </c>
      <c r="E118" s="267"/>
      <c r="F118" s="267"/>
      <c r="G118" s="267"/>
      <c r="H118" s="21">
        <v>8.0000000000000002E-3</v>
      </c>
      <c r="I118" s="20">
        <f>ROUND(H118*SUM($I$113,$I$105,$I$84,$I$74,$I$37,I117),2)</f>
        <v>54.61</v>
      </c>
      <c r="J118" s="192">
        <v>8.0000000000000002E-3</v>
      </c>
      <c r="K118" s="191">
        <f>ROUND(J118*SUM($K$113,$K$105,$K$84,$K$74,$K$37,K117),2)</f>
        <v>59.06</v>
      </c>
    </row>
    <row r="119" spans="3:11" ht="15" customHeight="1" x14ac:dyDescent="0.35">
      <c r="C119" s="261" t="s">
        <v>8</v>
      </c>
      <c r="D119" s="267" t="s">
        <v>36</v>
      </c>
      <c r="E119" s="267"/>
      <c r="F119" s="267"/>
      <c r="G119" s="267"/>
      <c r="H119" s="19">
        <f>H120+H121+H122</f>
        <v>8.6499999999999994E-2</v>
      </c>
      <c r="I119" s="20">
        <f ca="1">ROUND(SUM(I120,I121,I122),2)</f>
        <v>651.54</v>
      </c>
      <c r="J119" s="190">
        <f>J120+J121+J122</f>
        <v>8.6499999999999994E-2</v>
      </c>
      <c r="K119" s="191">
        <f ca="1">ROUND(SUM(K120,K121,K122),2)</f>
        <v>704.59</v>
      </c>
    </row>
    <row r="120" spans="3:11" ht="15" customHeight="1" x14ac:dyDescent="0.35">
      <c r="C120" s="262"/>
      <c r="D120" s="267" t="s">
        <v>95</v>
      </c>
      <c r="E120" s="267"/>
      <c r="F120" s="267"/>
      <c r="G120" s="267"/>
      <c r="H120" s="19">
        <f>ROUND(3%+0.65%,4)</f>
        <v>3.6499999999999998E-2</v>
      </c>
      <c r="I120" s="20">
        <f ca="1">ROUND(H120*$I$134,2)</f>
        <v>274.93</v>
      </c>
      <c r="J120" s="190">
        <f>ROUND(3%+0.65%,4)</f>
        <v>3.6499999999999998E-2</v>
      </c>
      <c r="K120" s="191">
        <f ca="1">ROUND(J120*$K$134,2)</f>
        <v>297.31</v>
      </c>
    </row>
    <row r="121" spans="3:11" ht="15" customHeight="1" x14ac:dyDescent="0.35">
      <c r="C121" s="262"/>
      <c r="D121" s="267" t="s">
        <v>96</v>
      </c>
      <c r="E121" s="267"/>
      <c r="F121" s="267"/>
      <c r="G121" s="267"/>
      <c r="H121" s="19">
        <f>ROUND(5%,4)</f>
        <v>0.05</v>
      </c>
      <c r="I121" s="20">
        <f ca="1">ROUND(H121*$I$134,2)</f>
        <v>376.61</v>
      </c>
      <c r="J121" s="190">
        <f>ROUND(5%,4)</f>
        <v>0.05</v>
      </c>
      <c r="K121" s="191">
        <f ca="1">ROUND(J121*$K$134,2)</f>
        <v>407.28</v>
      </c>
    </row>
    <row r="122" spans="3:11" ht="15" customHeight="1" x14ac:dyDescent="0.35">
      <c r="C122" s="263"/>
      <c r="D122" s="267" t="s">
        <v>97</v>
      </c>
      <c r="E122" s="267"/>
      <c r="F122" s="267"/>
      <c r="G122" s="26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58" t="s">
        <v>35</v>
      </c>
      <c r="D123" s="259"/>
      <c r="E123" s="259"/>
      <c r="F123" s="259"/>
      <c r="G123" s="259"/>
      <c r="H123" s="260"/>
      <c r="I123" s="22">
        <f ca="1">ROUND(SUM(I117,I118,I119),2)</f>
        <v>773.74</v>
      </c>
      <c r="K123" s="193">
        <f ca="1">ROUND(SUM(K117,K118,K119),2)</f>
        <v>836.74</v>
      </c>
    </row>
    <row r="125" spans="3:11" ht="15" customHeight="1" x14ac:dyDescent="0.35">
      <c r="C125" s="265" t="s">
        <v>98</v>
      </c>
      <c r="D125" s="265"/>
      <c r="E125" s="265"/>
      <c r="F125" s="265"/>
      <c r="G125" s="265"/>
      <c r="H125" s="265"/>
      <c r="I125" s="265"/>
    </row>
    <row r="126" spans="3:11" ht="15" customHeight="1" x14ac:dyDescent="0.35">
      <c r="C126" s="38"/>
      <c r="D126" s="266" t="s">
        <v>51</v>
      </c>
      <c r="E126" s="266"/>
      <c r="F126" s="266"/>
      <c r="G126" s="266"/>
      <c r="H126" s="266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64" t="s">
        <v>37</v>
      </c>
      <c r="E127" s="264"/>
      <c r="F127" s="264"/>
      <c r="G127" s="264"/>
      <c r="H127" s="264"/>
      <c r="I127" s="23">
        <f>ROUND(I37,2)</f>
        <v>3540.43</v>
      </c>
      <c r="K127" s="194">
        <f>ROUND(K37,2)</f>
        <v>3717.45</v>
      </c>
    </row>
    <row r="128" spans="3:11" ht="15" customHeight="1" x14ac:dyDescent="0.35">
      <c r="C128" s="38" t="s">
        <v>6</v>
      </c>
      <c r="D128" s="264" t="s">
        <v>68</v>
      </c>
      <c r="E128" s="264"/>
      <c r="F128" s="264"/>
      <c r="G128" s="264"/>
      <c r="H128" s="264"/>
      <c r="I128" s="23">
        <f>ROUND(I74,2)</f>
        <v>2839.99</v>
      </c>
      <c r="K128" s="194">
        <f>ROUND(K74,2)</f>
        <v>3015.59</v>
      </c>
    </row>
    <row r="129" spans="3:12" ht="15" customHeight="1" x14ac:dyDescent="0.35">
      <c r="C129" s="38" t="s">
        <v>8</v>
      </c>
      <c r="D129" s="264" t="s">
        <v>83</v>
      </c>
      <c r="E129" s="264"/>
      <c r="F129" s="264"/>
      <c r="G129" s="264"/>
      <c r="H129" s="264"/>
      <c r="I129" s="23">
        <f>ROUND(I84,2)</f>
        <v>143.35</v>
      </c>
      <c r="K129" s="194">
        <f>ROUND(K84,2)</f>
        <v>150.51</v>
      </c>
    </row>
    <row r="130" spans="3:12" ht="15" customHeight="1" x14ac:dyDescent="0.35">
      <c r="C130" s="38" t="s">
        <v>10</v>
      </c>
      <c r="D130" s="264" t="s">
        <v>89</v>
      </c>
      <c r="E130" s="264"/>
      <c r="F130" s="264"/>
      <c r="G130" s="264"/>
      <c r="H130" s="264"/>
      <c r="I130" s="23">
        <f>ROUND(I105,2)</f>
        <v>92.04</v>
      </c>
      <c r="K130" s="194">
        <f>ROUND(K105,2)</f>
        <v>282.52</v>
      </c>
    </row>
    <row r="131" spans="3:12" ht="15" customHeight="1" x14ac:dyDescent="0.35">
      <c r="C131" s="38" t="s">
        <v>11</v>
      </c>
      <c r="D131" s="264" t="s">
        <v>91</v>
      </c>
      <c r="E131" s="264"/>
      <c r="F131" s="264"/>
      <c r="G131" s="264"/>
      <c r="H131" s="264"/>
      <c r="I131" s="23">
        <f>ROUND(I113,2)</f>
        <v>142.74</v>
      </c>
      <c r="K131" s="194">
        <f>ROUND(K113,2)</f>
        <v>142.74</v>
      </c>
    </row>
    <row r="132" spans="3:12" ht="15" customHeight="1" x14ac:dyDescent="0.35">
      <c r="C132" s="258" t="s">
        <v>223</v>
      </c>
      <c r="D132" s="259"/>
      <c r="E132" s="259"/>
      <c r="F132" s="259"/>
      <c r="G132" s="259"/>
      <c r="H132" s="260"/>
      <c r="I132" s="24">
        <f>ROUND(SUM(I127:I131),2)</f>
        <v>6758.55</v>
      </c>
      <c r="J132" s="187"/>
      <c r="K132" s="195">
        <f>ROUND(SUM(K127:K131),2)</f>
        <v>7308.81</v>
      </c>
    </row>
    <row r="133" spans="3:12" ht="15" customHeight="1" x14ac:dyDescent="0.35">
      <c r="C133" s="38" t="s">
        <v>12</v>
      </c>
      <c r="D133" s="264" t="s">
        <v>99</v>
      </c>
      <c r="E133" s="264"/>
      <c r="F133" s="264"/>
      <c r="G133" s="264"/>
      <c r="H133" s="264"/>
      <c r="I133" s="23">
        <f ca="1">ROUND(I123,2)</f>
        <v>773.74</v>
      </c>
      <c r="J133" s="187"/>
      <c r="K133" s="194">
        <f ca="1">ROUND(K123,2)</f>
        <v>836.74</v>
      </c>
    </row>
    <row r="134" spans="3:12" ht="15" customHeight="1" x14ac:dyDescent="0.35">
      <c r="C134" s="258" t="s">
        <v>52</v>
      </c>
      <c r="D134" s="259"/>
      <c r="E134" s="259"/>
      <c r="F134" s="259"/>
      <c r="G134" s="259"/>
      <c r="H134" s="260"/>
      <c r="I134" s="24">
        <f ca="1">ROUND(SUM(I132:I133),2)</f>
        <v>7532.29</v>
      </c>
      <c r="K134" s="195">
        <f ca="1">ROUND(SUM(K132:K133),2)</f>
        <v>8145.55</v>
      </c>
      <c r="L134" s="25"/>
    </row>
    <row r="135" spans="3:12" ht="15" customHeight="1" x14ac:dyDescent="0.35">
      <c r="C135" s="258" t="s">
        <v>119</v>
      </c>
      <c r="D135" s="259"/>
      <c r="E135" s="259"/>
      <c r="F135" s="259"/>
      <c r="G135" s="259"/>
      <c r="H135" s="260"/>
      <c r="I135" s="24">
        <f ca="1">ROUND(2*I134,2)</f>
        <v>15064.58</v>
      </c>
      <c r="K135" s="195">
        <f ca="1">ROUND(2*K134,2)</f>
        <v>16291.1</v>
      </c>
    </row>
    <row r="136" spans="3:12" ht="15" customHeight="1" x14ac:dyDescent="0.35">
      <c r="C136"/>
      <c r="D136"/>
      <c r="E136"/>
      <c r="F136"/>
      <c r="G136"/>
      <c r="H136"/>
      <c r="I136"/>
      <c r="J136" s="205"/>
      <c r="K136" s="206"/>
    </row>
    <row r="137" spans="3:12" ht="15" customHeight="1" x14ac:dyDescent="0.35">
      <c r="C137"/>
      <c r="D137"/>
      <c r="E137"/>
      <c r="F137"/>
      <c r="G137"/>
      <c r="H137"/>
      <c r="I137"/>
      <c r="J137" s="205"/>
      <c r="K137" s="206"/>
    </row>
    <row r="138" spans="3:12" ht="15" customHeight="1" x14ac:dyDescent="0.35">
      <c r="C138"/>
      <c r="D138"/>
      <c r="E138"/>
      <c r="F138"/>
      <c r="G138"/>
      <c r="H138"/>
      <c r="I138" s="31"/>
      <c r="J138" s="196"/>
      <c r="K138" s="197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  <mergeCell ref="C135:H135"/>
    <mergeCell ref="C2:I2"/>
    <mergeCell ref="H4:I4"/>
    <mergeCell ref="H5:I5"/>
    <mergeCell ref="C7:H7"/>
    <mergeCell ref="D71:G71"/>
    <mergeCell ref="D72:G72"/>
    <mergeCell ref="C9:I9"/>
    <mergeCell ref="D10:G10"/>
    <mergeCell ref="H10:I10"/>
    <mergeCell ref="D11:G11"/>
    <mergeCell ref="H11:I11"/>
    <mergeCell ref="D12:G12"/>
    <mergeCell ref="H12:I12"/>
    <mergeCell ref="F17:G17"/>
    <mergeCell ref="H17:I17"/>
    <mergeCell ref="D13:G13"/>
    <mergeCell ref="H13:I13"/>
    <mergeCell ref="C15:I15"/>
    <mergeCell ref="F16:G16"/>
    <mergeCell ref="H16:I16"/>
    <mergeCell ref="C16:E16"/>
    <mergeCell ref="C19:I19"/>
    <mergeCell ref="C20:I20"/>
    <mergeCell ref="C58:I58"/>
    <mergeCell ref="C46:I46"/>
    <mergeCell ref="D50:G50"/>
    <mergeCell ref="D54:G54"/>
    <mergeCell ref="C21:I21"/>
    <mergeCell ref="D22:G22"/>
    <mergeCell ref="H22:I22"/>
    <mergeCell ref="C17:E17"/>
    <mergeCell ref="D35:H35"/>
    <mergeCell ref="D25:G25"/>
    <mergeCell ref="H25:I25"/>
    <mergeCell ref="D26:G26"/>
    <mergeCell ref="H26:I26"/>
    <mergeCell ref="C28:I28"/>
    <mergeCell ref="D29:H29"/>
    <mergeCell ref="D30:H30"/>
    <mergeCell ref="D31:H31"/>
    <mergeCell ref="D32:H32"/>
    <mergeCell ref="D33:H33"/>
    <mergeCell ref="D34:H34"/>
    <mergeCell ref="D24:G24"/>
    <mergeCell ref="H24:I24"/>
    <mergeCell ref="H23:I23"/>
    <mergeCell ref="D59:H59"/>
    <mergeCell ref="D60:H60"/>
    <mergeCell ref="D81:G81"/>
    <mergeCell ref="D82:G82"/>
    <mergeCell ref="C60:C61"/>
    <mergeCell ref="D61:H61"/>
    <mergeCell ref="D62:H62"/>
    <mergeCell ref="D63:H63"/>
    <mergeCell ref="D66:H66"/>
    <mergeCell ref="D80:G80"/>
    <mergeCell ref="C67:H67"/>
    <mergeCell ref="C69:I69"/>
    <mergeCell ref="D70:H70"/>
    <mergeCell ref="C74:G74"/>
    <mergeCell ref="D64:H64"/>
    <mergeCell ref="D65:H65"/>
    <mergeCell ref="D78:G78"/>
    <mergeCell ref="D79:G79"/>
    <mergeCell ref="D93:G93"/>
    <mergeCell ref="C84:G84"/>
    <mergeCell ref="C86:I86"/>
    <mergeCell ref="D87:G87"/>
    <mergeCell ref="D92:G92"/>
    <mergeCell ref="D83:G83"/>
    <mergeCell ref="D104:H104"/>
    <mergeCell ref="D97:H97"/>
    <mergeCell ref="D98:H98"/>
    <mergeCell ref="C99:H99"/>
    <mergeCell ref="C4:G4"/>
    <mergeCell ref="C5:G5"/>
    <mergeCell ref="D23:G23"/>
    <mergeCell ref="C37:H37"/>
    <mergeCell ref="C56:G56"/>
    <mergeCell ref="C40:I40"/>
    <mergeCell ref="D42:G42"/>
    <mergeCell ref="D43:G43"/>
    <mergeCell ref="C44:G44"/>
    <mergeCell ref="D51:G51"/>
    <mergeCell ref="D52:G52"/>
    <mergeCell ref="D53:G53"/>
    <mergeCell ref="D36:H36"/>
    <mergeCell ref="C39:I39"/>
    <mergeCell ref="D47:G47"/>
    <mergeCell ref="D48:G48"/>
    <mergeCell ref="D49:G49"/>
    <mergeCell ref="D41:G41"/>
    <mergeCell ref="D55:G55"/>
    <mergeCell ref="D109:H109"/>
    <mergeCell ref="C105:H105"/>
    <mergeCell ref="D116:G116"/>
    <mergeCell ref="D120:G120"/>
    <mergeCell ref="C101:I101"/>
    <mergeCell ref="D102:H102"/>
    <mergeCell ref="D103:H103"/>
    <mergeCell ref="C113:H113"/>
    <mergeCell ref="D73:H73"/>
    <mergeCell ref="D88:G88"/>
    <mergeCell ref="D89:G89"/>
    <mergeCell ref="C115:I115"/>
    <mergeCell ref="D117:G117"/>
    <mergeCell ref="D110:H110"/>
    <mergeCell ref="D111:H111"/>
    <mergeCell ref="D112:H112"/>
    <mergeCell ref="C94:G94"/>
    <mergeCell ref="C96:I96"/>
    <mergeCell ref="D90:G90"/>
    <mergeCell ref="D91:G91"/>
    <mergeCell ref="C107:I107"/>
    <mergeCell ref="D108:H108"/>
    <mergeCell ref="C76:I76"/>
    <mergeCell ref="D77:G77"/>
    <mergeCell ref="C134:H134"/>
    <mergeCell ref="C119:C122"/>
    <mergeCell ref="C123:H123"/>
    <mergeCell ref="D133:H133"/>
    <mergeCell ref="C125:I125"/>
    <mergeCell ref="D126:H126"/>
    <mergeCell ref="D127:H127"/>
    <mergeCell ref="D118:G118"/>
    <mergeCell ref="D119:G119"/>
    <mergeCell ref="D121:G121"/>
    <mergeCell ref="D122:G122"/>
    <mergeCell ref="D130:H130"/>
    <mergeCell ref="C132:H132"/>
    <mergeCell ref="D128:H128"/>
    <mergeCell ref="D129:H129"/>
    <mergeCell ref="D131:H131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  <ignoredErrors>
    <ignoredError sqref="I119:I121 J119:J12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CAFC0-E53B-4B06-81D8-8A853A8CED4F}">
  <dimension ref="C2:M179"/>
  <sheetViews>
    <sheetView showGridLines="0" topLeftCell="A21" zoomScale="70" zoomScaleNormal="70" zoomScaleSheetLayoutView="100" workbookViewId="0">
      <pane xSplit="8" ySplit="8" topLeftCell="I113" activePane="bottomRight" state="frozen"/>
      <selection activeCell="A21" sqref="A21"/>
      <selection pane="topRight" activeCell="I21" sqref="I21"/>
      <selection pane="bottomLeft" activeCell="A29" sqref="A29"/>
      <selection pane="bottomRight" activeCell="K121" sqref="K121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3" ht="15" customHeight="1" x14ac:dyDescent="0.35">
      <c r="C2" s="272" t="s">
        <v>0</v>
      </c>
      <c r="D2" s="272"/>
      <c r="E2" s="272"/>
      <c r="F2" s="272"/>
      <c r="G2" s="272"/>
      <c r="H2" s="272"/>
      <c r="I2" s="272"/>
    </row>
    <row r="4" spans="3:13" ht="15" customHeight="1" x14ac:dyDescent="0.35">
      <c r="C4" s="280" t="s">
        <v>1</v>
      </c>
      <c r="D4" s="281"/>
      <c r="E4" s="281"/>
      <c r="F4" s="281"/>
      <c r="G4" s="282"/>
      <c r="H4" s="292" t="s">
        <v>172</v>
      </c>
      <c r="I4" s="293"/>
      <c r="J4" s="304"/>
      <c r="K4" s="304"/>
    </row>
    <row r="5" spans="3:13" ht="15" customHeight="1" x14ac:dyDescent="0.35">
      <c r="C5" s="280" t="s">
        <v>2</v>
      </c>
      <c r="D5" s="281"/>
      <c r="E5" s="281"/>
      <c r="F5" s="281"/>
      <c r="G5" s="282"/>
      <c r="H5" s="294" t="s">
        <v>171</v>
      </c>
      <c r="I5" s="295"/>
      <c r="J5" s="306"/>
      <c r="K5" s="307"/>
      <c r="M5" s="36" t="e">
        <f>I5/E5</f>
        <v>#DIV/0!</v>
      </c>
    </row>
    <row r="6" spans="3:13" ht="15" customHeight="1" x14ac:dyDescent="0.35">
      <c r="M6" s="36" t="e">
        <f>I6/E6</f>
        <v>#DIV/0!</v>
      </c>
    </row>
    <row r="7" spans="3:13" ht="15" customHeight="1" x14ac:dyDescent="0.35">
      <c r="C7" s="296" t="s">
        <v>140</v>
      </c>
      <c r="D7" s="296"/>
      <c r="E7" s="296"/>
      <c r="F7" s="296"/>
      <c r="G7" s="296"/>
      <c r="H7" s="296"/>
    </row>
    <row r="9" spans="3:13" ht="15" customHeight="1" x14ac:dyDescent="0.35">
      <c r="C9" s="277" t="s">
        <v>3</v>
      </c>
      <c r="D9" s="277"/>
      <c r="E9" s="277"/>
      <c r="F9" s="277"/>
      <c r="G9" s="277"/>
      <c r="H9" s="277"/>
      <c r="I9" s="277"/>
    </row>
    <row r="10" spans="3:13" ht="15" customHeight="1" x14ac:dyDescent="0.35">
      <c r="C10" s="38" t="s">
        <v>4</v>
      </c>
      <c r="D10" s="267" t="s">
        <v>5</v>
      </c>
      <c r="E10" s="267"/>
      <c r="F10" s="267"/>
      <c r="G10" s="267"/>
      <c r="H10" s="297">
        <v>45887</v>
      </c>
      <c r="I10" s="298"/>
      <c r="J10" s="308"/>
      <c r="K10" s="308"/>
    </row>
    <row r="11" spans="3:13" ht="15" customHeight="1" x14ac:dyDescent="0.35">
      <c r="C11" s="38" t="s">
        <v>6</v>
      </c>
      <c r="D11" s="267" t="s">
        <v>7</v>
      </c>
      <c r="E11" s="267"/>
      <c r="F11" s="267"/>
      <c r="G11" s="267"/>
      <c r="H11" s="286" t="s">
        <v>57</v>
      </c>
      <c r="I11" s="299"/>
      <c r="J11" s="309"/>
      <c r="K11" s="309"/>
    </row>
    <row r="12" spans="3:13" ht="15" customHeight="1" x14ac:dyDescent="0.35">
      <c r="C12" s="38" t="s">
        <v>8</v>
      </c>
      <c r="D12" s="267" t="s">
        <v>9</v>
      </c>
      <c r="E12" s="267"/>
      <c r="F12" s="267"/>
      <c r="G12" s="267"/>
      <c r="H12" s="286">
        <v>2024</v>
      </c>
      <c r="I12" s="299"/>
      <c r="J12" s="309"/>
      <c r="K12" s="309"/>
    </row>
    <row r="13" spans="3:13" ht="15" customHeight="1" x14ac:dyDescent="0.35">
      <c r="C13" s="154" t="s">
        <v>10</v>
      </c>
      <c r="D13" s="267" t="s">
        <v>13</v>
      </c>
      <c r="E13" s="267"/>
      <c r="F13" s="267"/>
      <c r="G13" s="267"/>
      <c r="H13" s="286">
        <v>12</v>
      </c>
      <c r="I13" s="299"/>
      <c r="J13" s="309"/>
      <c r="K13" s="309"/>
    </row>
    <row r="15" spans="3:13" ht="15" customHeight="1" x14ac:dyDescent="0.35">
      <c r="C15" s="277" t="s">
        <v>14</v>
      </c>
      <c r="D15" s="277"/>
      <c r="E15" s="277"/>
      <c r="F15" s="277"/>
      <c r="G15" s="277"/>
      <c r="H15" s="277"/>
      <c r="I15" s="277"/>
    </row>
    <row r="16" spans="3:13" ht="30" customHeight="1" x14ac:dyDescent="0.35">
      <c r="C16" s="268" t="s">
        <v>15</v>
      </c>
      <c r="D16" s="269"/>
      <c r="E16" s="270"/>
      <c r="F16" s="279" t="s">
        <v>38</v>
      </c>
      <c r="G16" s="279"/>
      <c r="H16" s="279" t="s">
        <v>136</v>
      </c>
      <c r="I16" s="268"/>
      <c r="J16" s="310"/>
      <c r="K16" s="310"/>
    </row>
    <row r="17" spans="3:12" ht="29.25" customHeight="1" x14ac:dyDescent="0.35">
      <c r="C17" s="288" t="s">
        <v>143</v>
      </c>
      <c r="D17" s="289"/>
      <c r="E17" s="290"/>
      <c r="F17" s="292" t="s">
        <v>53</v>
      </c>
      <c r="G17" s="292"/>
      <c r="H17" s="292">
        <v>2</v>
      </c>
      <c r="I17" s="293"/>
      <c r="J17" s="304"/>
      <c r="K17" s="304"/>
    </row>
    <row r="19" spans="3:12" ht="15" customHeight="1" x14ac:dyDescent="0.35">
      <c r="C19" s="265" t="s">
        <v>39</v>
      </c>
      <c r="D19" s="265"/>
      <c r="E19" s="265"/>
      <c r="F19" s="265"/>
      <c r="G19" s="265"/>
      <c r="H19" s="265"/>
      <c r="I19" s="265"/>
    </row>
    <row r="20" spans="3:12" ht="15" customHeight="1" x14ac:dyDescent="0.35">
      <c r="C20" s="265" t="s">
        <v>40</v>
      </c>
      <c r="D20" s="265"/>
      <c r="E20" s="265"/>
      <c r="F20" s="265"/>
      <c r="G20" s="265"/>
      <c r="H20" s="265"/>
      <c r="I20" s="265"/>
    </row>
    <row r="21" spans="3:12" ht="15" customHeight="1" x14ac:dyDescent="0.35">
      <c r="C21" s="286" t="s">
        <v>16</v>
      </c>
      <c r="D21" s="286"/>
      <c r="E21" s="286"/>
      <c r="F21" s="286"/>
      <c r="G21" s="286"/>
      <c r="H21" s="286"/>
      <c r="I21" s="286"/>
    </row>
    <row r="22" spans="3:12" ht="15" customHeight="1" x14ac:dyDescent="0.35">
      <c r="C22" s="38">
        <v>1</v>
      </c>
      <c r="D22" s="264" t="s">
        <v>41</v>
      </c>
      <c r="E22" s="264"/>
      <c r="F22" s="264"/>
      <c r="G22" s="264"/>
      <c r="H22" s="286" t="s">
        <v>141</v>
      </c>
      <c r="I22" s="286"/>
      <c r="J22" s="302" t="s">
        <v>141</v>
      </c>
      <c r="K22" s="302"/>
    </row>
    <row r="23" spans="3:12" ht="15" customHeight="1" x14ac:dyDescent="0.35">
      <c r="C23" s="38">
        <v>2</v>
      </c>
      <c r="D23" s="264" t="s">
        <v>65</v>
      </c>
      <c r="E23" s="264"/>
      <c r="F23" s="264"/>
      <c r="G23" s="264"/>
      <c r="H23" s="286" t="s">
        <v>116</v>
      </c>
      <c r="I23" s="286"/>
      <c r="J23" s="302" t="s">
        <v>116</v>
      </c>
      <c r="K23" s="302"/>
    </row>
    <row r="24" spans="3:12" ht="15" customHeight="1" x14ac:dyDescent="0.35">
      <c r="C24" s="38">
        <v>3</v>
      </c>
      <c r="D24" s="264" t="s">
        <v>42</v>
      </c>
      <c r="E24" s="264"/>
      <c r="F24" s="264"/>
      <c r="G24" s="264"/>
      <c r="H24" s="291">
        <v>2723.41</v>
      </c>
      <c r="I24" s="291"/>
      <c r="J24" s="305">
        <f>H24*1.05</f>
        <v>2859.5805</v>
      </c>
      <c r="K24" s="305"/>
    </row>
    <row r="25" spans="3:12" ht="15" customHeight="1" x14ac:dyDescent="0.35">
      <c r="C25" s="38">
        <v>4</v>
      </c>
      <c r="D25" s="264" t="s">
        <v>43</v>
      </c>
      <c r="E25" s="264"/>
      <c r="F25" s="264"/>
      <c r="G25" s="264"/>
      <c r="H25" s="286" t="s">
        <v>144</v>
      </c>
      <c r="I25" s="286"/>
      <c r="J25" s="302" t="s">
        <v>144</v>
      </c>
      <c r="K25" s="302"/>
    </row>
    <row r="26" spans="3:12" ht="15" customHeight="1" x14ac:dyDescent="0.35">
      <c r="C26" s="38">
        <v>5</v>
      </c>
      <c r="D26" s="264" t="s">
        <v>44</v>
      </c>
      <c r="E26" s="264"/>
      <c r="F26" s="264"/>
      <c r="G26" s="264"/>
      <c r="H26" s="286" t="s">
        <v>151</v>
      </c>
      <c r="I26" s="286"/>
      <c r="J26" s="302" t="s">
        <v>151</v>
      </c>
      <c r="K26" s="302"/>
    </row>
    <row r="28" spans="3:12" ht="15" customHeight="1" x14ac:dyDescent="0.35">
      <c r="C28" s="277" t="s">
        <v>17</v>
      </c>
      <c r="D28" s="277"/>
      <c r="E28" s="277"/>
      <c r="F28" s="277"/>
      <c r="G28" s="277"/>
      <c r="H28" s="277"/>
      <c r="I28" s="277"/>
    </row>
    <row r="29" spans="3:12" s="152" customFormat="1" ht="15" customHeight="1" x14ac:dyDescent="0.35">
      <c r="C29" s="153">
        <v>1</v>
      </c>
      <c r="D29" s="278" t="s">
        <v>18</v>
      </c>
      <c r="E29" s="278"/>
      <c r="F29" s="278"/>
      <c r="G29" s="278"/>
      <c r="H29" s="278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6" t="s">
        <v>45</v>
      </c>
      <c r="E30" s="276"/>
      <c r="F30" s="276"/>
      <c r="G30" s="276"/>
      <c r="H30" s="276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6" t="s">
        <v>46</v>
      </c>
      <c r="E31" s="276"/>
      <c r="F31" s="276"/>
      <c r="G31" s="276"/>
      <c r="H31" s="276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6" t="s">
        <v>47</v>
      </c>
      <c r="E32" s="276"/>
      <c r="F32" s="276"/>
      <c r="G32" s="276"/>
      <c r="H32" s="276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6" t="s">
        <v>48</v>
      </c>
      <c r="E33" s="276"/>
      <c r="F33" s="276"/>
      <c r="G33" s="276"/>
      <c r="H33" s="276"/>
      <c r="I33" s="2">
        <v>0</v>
      </c>
      <c r="K33" s="175">
        <v>0</v>
      </c>
    </row>
    <row r="34" spans="3:12" ht="15" customHeight="1" x14ac:dyDescent="0.35">
      <c r="C34" s="154" t="s">
        <v>11</v>
      </c>
      <c r="D34" s="276" t="s">
        <v>66</v>
      </c>
      <c r="E34" s="276"/>
      <c r="F34" s="276"/>
      <c r="G34" s="276"/>
      <c r="H34" s="276"/>
      <c r="I34" s="2">
        <v>0</v>
      </c>
      <c r="K34" s="175">
        <v>0</v>
      </c>
    </row>
    <row r="35" spans="3:12" ht="15" customHeight="1" x14ac:dyDescent="0.35">
      <c r="C35" s="154" t="s">
        <v>12</v>
      </c>
      <c r="D35" s="276" t="s">
        <v>67</v>
      </c>
      <c r="E35" s="276"/>
      <c r="F35" s="276"/>
      <c r="G35" s="276"/>
      <c r="H35" s="276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6" t="s">
        <v>49</v>
      </c>
      <c r="E36" s="276"/>
      <c r="F36" s="276"/>
      <c r="G36" s="276"/>
      <c r="H36" s="276"/>
      <c r="I36" s="2">
        <v>0</v>
      </c>
      <c r="K36" s="175">
        <v>0</v>
      </c>
    </row>
    <row r="37" spans="3:12" s="152" customFormat="1" ht="15" customHeight="1" x14ac:dyDescent="0.35">
      <c r="C37" s="283" t="s">
        <v>21</v>
      </c>
      <c r="D37" s="284"/>
      <c r="E37" s="284"/>
      <c r="F37" s="284"/>
      <c r="G37" s="284"/>
      <c r="H37" s="285"/>
      <c r="I37" s="6">
        <f>ROUND(SUM(I30:I36),2)</f>
        <v>3540.43</v>
      </c>
      <c r="J37" s="176"/>
      <c r="K37" s="177">
        <f>ROUND(SUM(K30:K36),2)</f>
        <v>3717.45</v>
      </c>
      <c r="L37" s="5"/>
    </row>
    <row r="39" spans="3:12" ht="15" customHeight="1" x14ac:dyDescent="0.35">
      <c r="C39" s="272" t="s">
        <v>68</v>
      </c>
      <c r="D39" s="272"/>
      <c r="E39" s="272"/>
      <c r="F39" s="272"/>
      <c r="G39" s="272"/>
      <c r="H39" s="272"/>
      <c r="I39" s="272"/>
    </row>
    <row r="40" spans="3:12" ht="15" customHeight="1" x14ac:dyDescent="0.35">
      <c r="C40" s="277" t="s">
        <v>69</v>
      </c>
      <c r="D40" s="277"/>
      <c r="E40" s="277"/>
      <c r="F40" s="277"/>
      <c r="G40" s="277"/>
      <c r="H40" s="277"/>
      <c r="I40" s="277"/>
    </row>
    <row r="41" spans="3:12" ht="15" customHeight="1" x14ac:dyDescent="0.35">
      <c r="C41" s="153" t="s">
        <v>70</v>
      </c>
      <c r="D41" s="279" t="s">
        <v>63</v>
      </c>
      <c r="E41" s="279"/>
      <c r="F41" s="279"/>
      <c r="G41" s="279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6" t="s">
        <v>71</v>
      </c>
      <c r="E42" s="276"/>
      <c r="F42" s="276"/>
      <c r="G42" s="276"/>
      <c r="H42" s="7">
        <v>8.3299999999999999E-2</v>
      </c>
      <c r="I42" s="2">
        <f>ROUND(I$37*H42,2)</f>
        <v>294.92</v>
      </c>
      <c r="J42" s="178">
        <v>8.3299999999999999E-2</v>
      </c>
      <c r="K42" s="175">
        <f>ROUND(K$37*J42,2)</f>
        <v>309.66000000000003</v>
      </c>
    </row>
    <row r="43" spans="3:12" ht="15" customHeight="1" x14ac:dyDescent="0.35">
      <c r="C43" s="38" t="s">
        <v>6</v>
      </c>
      <c r="D43" s="276" t="s">
        <v>72</v>
      </c>
      <c r="E43" s="276"/>
      <c r="F43" s="276"/>
      <c r="G43" s="276"/>
      <c r="H43" s="7">
        <v>0.121</v>
      </c>
      <c r="I43" s="2">
        <f>ROUND(I$37*H43,2)</f>
        <v>428.39</v>
      </c>
      <c r="J43" s="178">
        <v>0.121</v>
      </c>
      <c r="K43" s="175">
        <f>ROUND(K$37*J43,2)</f>
        <v>449.81</v>
      </c>
    </row>
    <row r="44" spans="3:12" ht="15" customHeight="1" x14ac:dyDescent="0.35">
      <c r="C44" s="268" t="s">
        <v>73</v>
      </c>
      <c r="D44" s="269"/>
      <c r="E44" s="269"/>
      <c r="F44" s="269"/>
      <c r="G44" s="270"/>
      <c r="H44" s="8">
        <f>SUM(H42:H43)</f>
        <v>0.20429999999999998</v>
      </c>
      <c r="I44" s="9">
        <f>SUM(I42:I43)</f>
        <v>723.31</v>
      </c>
      <c r="J44" s="179">
        <f>SUM(J42:J43)</f>
        <v>0.20429999999999998</v>
      </c>
      <c r="K44" s="180">
        <f>SUM(K42:K43)</f>
        <v>759.47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72" t="s">
        <v>74</v>
      </c>
      <c r="D46" s="272"/>
      <c r="E46" s="272"/>
      <c r="F46" s="272"/>
      <c r="G46" s="272"/>
      <c r="H46" s="272"/>
      <c r="I46" s="272"/>
    </row>
    <row r="47" spans="3:12" s="152" customFormat="1" ht="15" customHeight="1" x14ac:dyDescent="0.35">
      <c r="C47" s="153" t="s">
        <v>75</v>
      </c>
      <c r="D47" s="279" t="s">
        <v>76</v>
      </c>
      <c r="E47" s="279"/>
      <c r="F47" s="279"/>
      <c r="G47" s="279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6" t="s">
        <v>25</v>
      </c>
      <c r="E48" s="276"/>
      <c r="F48" s="276"/>
      <c r="G48" s="276"/>
      <c r="H48" s="7">
        <v>0.2</v>
      </c>
      <c r="I48" s="2">
        <f t="shared" ref="I48:I55" si="0">ROUND(H48*($I$37+$I$44),2)</f>
        <v>852.75</v>
      </c>
      <c r="J48" s="178">
        <v>0.2</v>
      </c>
      <c r="K48" s="175">
        <f>ROUND(J48*($K$37+$K$44),2)</f>
        <v>895.38</v>
      </c>
    </row>
    <row r="49" spans="3:11" ht="15" customHeight="1" x14ac:dyDescent="0.35">
      <c r="C49" s="38" t="s">
        <v>6</v>
      </c>
      <c r="D49" s="276" t="s">
        <v>27</v>
      </c>
      <c r="E49" s="276"/>
      <c r="F49" s="276"/>
      <c r="G49" s="276"/>
      <c r="H49" s="7">
        <v>2.5000000000000001E-2</v>
      </c>
      <c r="I49" s="2">
        <f t="shared" si="0"/>
        <v>106.59</v>
      </c>
      <c r="J49" s="178">
        <v>2.5000000000000001E-2</v>
      </c>
      <c r="K49" s="175">
        <f t="shared" ref="K49:K55" si="1">ROUND(J49*($K$37+$K$44),2)</f>
        <v>111.92</v>
      </c>
    </row>
    <row r="50" spans="3:11" ht="15" customHeight="1" x14ac:dyDescent="0.35">
      <c r="C50" s="38" t="s">
        <v>8</v>
      </c>
      <c r="D50" s="276" t="s">
        <v>149</v>
      </c>
      <c r="E50" s="276"/>
      <c r="F50" s="276"/>
      <c r="G50" s="276"/>
      <c r="H50" s="7">
        <f>ROUND(3%*1.111,4)</f>
        <v>3.3300000000000003E-2</v>
      </c>
      <c r="I50" s="2">
        <f t="shared" si="0"/>
        <v>141.97999999999999</v>
      </c>
      <c r="J50" s="178">
        <f>ROUND(3%*1.111,4)</f>
        <v>3.3300000000000003E-2</v>
      </c>
      <c r="K50" s="175">
        <f t="shared" si="1"/>
        <v>149.08000000000001</v>
      </c>
    </row>
    <row r="51" spans="3:11" ht="15" customHeight="1" x14ac:dyDescent="0.35">
      <c r="C51" s="38" t="s">
        <v>10</v>
      </c>
      <c r="D51" s="276" t="s">
        <v>77</v>
      </c>
      <c r="E51" s="276"/>
      <c r="F51" s="276"/>
      <c r="G51" s="276"/>
      <c r="H51" s="7">
        <v>1.4999999999999999E-2</v>
      </c>
      <c r="I51" s="2">
        <f t="shared" si="0"/>
        <v>63.96</v>
      </c>
      <c r="J51" s="178">
        <v>1.4999999999999999E-2</v>
      </c>
      <c r="K51" s="175">
        <f t="shared" si="1"/>
        <v>67.150000000000006</v>
      </c>
    </row>
    <row r="52" spans="3:11" ht="15" customHeight="1" x14ac:dyDescent="0.35">
      <c r="C52" s="38" t="s">
        <v>11</v>
      </c>
      <c r="D52" s="276" t="s">
        <v>78</v>
      </c>
      <c r="E52" s="276"/>
      <c r="F52" s="276"/>
      <c r="G52" s="276"/>
      <c r="H52" s="7">
        <v>0.01</v>
      </c>
      <c r="I52" s="2">
        <f t="shared" si="0"/>
        <v>42.64</v>
      </c>
      <c r="J52" s="178">
        <v>0.01</v>
      </c>
      <c r="K52" s="175">
        <f t="shared" si="1"/>
        <v>44.77</v>
      </c>
    </row>
    <row r="53" spans="3:11" ht="15" customHeight="1" x14ac:dyDescent="0.35">
      <c r="C53" s="38" t="s">
        <v>12</v>
      </c>
      <c r="D53" s="276" t="s">
        <v>31</v>
      </c>
      <c r="E53" s="276"/>
      <c r="F53" s="276"/>
      <c r="G53" s="276"/>
      <c r="H53" s="7">
        <v>6.0000000000000001E-3</v>
      </c>
      <c r="I53" s="2">
        <f t="shared" si="0"/>
        <v>25.58</v>
      </c>
      <c r="J53" s="178">
        <v>6.0000000000000001E-3</v>
      </c>
      <c r="K53" s="175">
        <f t="shared" si="1"/>
        <v>26.86</v>
      </c>
    </row>
    <row r="54" spans="3:11" ht="15" customHeight="1" x14ac:dyDescent="0.35">
      <c r="C54" s="38" t="s">
        <v>29</v>
      </c>
      <c r="D54" s="276" t="s">
        <v>26</v>
      </c>
      <c r="E54" s="276"/>
      <c r="F54" s="276"/>
      <c r="G54" s="276"/>
      <c r="H54" s="7">
        <v>2E-3</v>
      </c>
      <c r="I54" s="2">
        <f t="shared" si="0"/>
        <v>8.5299999999999994</v>
      </c>
      <c r="J54" s="178">
        <v>2E-3</v>
      </c>
      <c r="K54" s="175">
        <f t="shared" si="1"/>
        <v>8.9499999999999993</v>
      </c>
    </row>
    <row r="55" spans="3:11" ht="15" customHeight="1" x14ac:dyDescent="0.35">
      <c r="C55" s="38" t="s">
        <v>30</v>
      </c>
      <c r="D55" s="276" t="s">
        <v>28</v>
      </c>
      <c r="E55" s="276"/>
      <c r="F55" s="276"/>
      <c r="G55" s="276"/>
      <c r="H55" s="7">
        <v>0.08</v>
      </c>
      <c r="I55" s="2">
        <f t="shared" si="0"/>
        <v>341.1</v>
      </c>
      <c r="J55" s="178">
        <v>0.08</v>
      </c>
      <c r="K55" s="175">
        <f t="shared" si="1"/>
        <v>358.15</v>
      </c>
    </row>
    <row r="56" spans="3:11" ht="15" customHeight="1" x14ac:dyDescent="0.35">
      <c r="C56" s="279" t="s">
        <v>73</v>
      </c>
      <c r="D56" s="279"/>
      <c r="E56" s="279"/>
      <c r="F56" s="279"/>
      <c r="G56" s="279"/>
      <c r="H56" s="10">
        <f>ROUND(SUM(H48:H55),4)</f>
        <v>0.37130000000000002</v>
      </c>
      <c r="I56" s="9">
        <f>ROUND(SUM(I48:I55),4)</f>
        <v>1583.13</v>
      </c>
      <c r="J56" s="181">
        <f>ROUND(SUM(J48:J55),4)</f>
        <v>0.37130000000000002</v>
      </c>
      <c r="K56" s="180">
        <f>ROUND(SUM(K48:K55),4)</f>
        <v>1662.26</v>
      </c>
    </row>
    <row r="58" spans="3:11" ht="15" customHeight="1" x14ac:dyDescent="0.35">
      <c r="C58" s="287" t="s">
        <v>79</v>
      </c>
      <c r="D58" s="287"/>
      <c r="E58" s="287"/>
      <c r="F58" s="287"/>
      <c r="G58" s="287"/>
      <c r="H58" s="287"/>
      <c r="I58" s="287"/>
    </row>
    <row r="59" spans="3:11" ht="15" customHeight="1" x14ac:dyDescent="0.35">
      <c r="C59" s="153" t="s">
        <v>80</v>
      </c>
      <c r="D59" s="278" t="s">
        <v>22</v>
      </c>
      <c r="E59" s="278"/>
      <c r="F59" s="278"/>
      <c r="G59" s="278"/>
      <c r="H59" s="278"/>
      <c r="I59" s="153" t="s">
        <v>20</v>
      </c>
      <c r="K59" s="174" t="s">
        <v>20</v>
      </c>
    </row>
    <row r="60" spans="3:11" ht="15" customHeight="1" x14ac:dyDescent="0.35">
      <c r="C60" s="286" t="s">
        <v>4</v>
      </c>
      <c r="D60" s="264" t="s">
        <v>56</v>
      </c>
      <c r="E60" s="264"/>
      <c r="F60" s="264"/>
      <c r="G60" s="264"/>
      <c r="H60" s="264"/>
      <c r="I60" s="1">
        <f>ROUND(11*15,2)</f>
        <v>165</v>
      </c>
      <c r="K60" s="182">
        <f>ROUND(11*15,2)</f>
        <v>165</v>
      </c>
    </row>
    <row r="61" spans="3:11" ht="15" customHeight="1" x14ac:dyDescent="0.35">
      <c r="C61" s="286"/>
      <c r="D61" s="264" t="s">
        <v>64</v>
      </c>
      <c r="E61" s="264"/>
      <c r="F61" s="264"/>
      <c r="G61" s="264"/>
      <c r="H61" s="264"/>
      <c r="I61" s="1">
        <f>ROUND(IF((I30*-6%)&lt;=(-I60),-I60,(I30*-6%)),2)</f>
        <v>-163.4</v>
      </c>
      <c r="K61" s="182">
        <f>ROUND(IF((K30*-6%)&lt;=(-K60),-K60,(K30*-6%)),2)</f>
        <v>-165</v>
      </c>
    </row>
    <row r="62" spans="3:11" ht="15" customHeight="1" x14ac:dyDescent="0.35">
      <c r="C62" s="38" t="s">
        <v>6</v>
      </c>
      <c r="D62" s="264" t="s">
        <v>220</v>
      </c>
      <c r="E62" s="264"/>
      <c r="F62" s="264"/>
      <c r="G62" s="264"/>
      <c r="H62" s="264"/>
      <c r="I62" s="2">
        <f>46.42*15</f>
        <v>696.30000000000007</v>
      </c>
      <c r="K62" s="175">
        <f>49.63*15</f>
        <v>744.45</v>
      </c>
    </row>
    <row r="63" spans="3:11" ht="15" customHeight="1" x14ac:dyDescent="0.35">
      <c r="C63" s="38" t="s">
        <v>8</v>
      </c>
      <c r="D63" s="264" t="s">
        <v>117</v>
      </c>
      <c r="E63" s="264"/>
      <c r="F63" s="264"/>
      <c r="G63" s="264"/>
      <c r="H63" s="264"/>
      <c r="I63" s="2">
        <v>0</v>
      </c>
      <c r="K63" s="175">
        <v>0</v>
      </c>
    </row>
    <row r="64" spans="3:11" ht="15" customHeight="1" x14ac:dyDescent="0.35">
      <c r="C64" s="38" t="s">
        <v>10</v>
      </c>
      <c r="D64" s="264" t="s">
        <v>104</v>
      </c>
      <c r="E64" s="264"/>
      <c r="F64" s="264"/>
      <c r="G64" s="264"/>
      <c r="H64" s="264"/>
      <c r="I64" s="2">
        <v>22.93</v>
      </c>
      <c r="K64" s="175">
        <v>22.93</v>
      </c>
    </row>
    <row r="65" spans="3:12" ht="15" customHeight="1" x14ac:dyDescent="0.35">
      <c r="C65" s="38" t="s">
        <v>11</v>
      </c>
      <c r="D65" s="264" t="s">
        <v>118</v>
      </c>
      <c r="E65" s="264"/>
      <c r="F65" s="264"/>
      <c r="G65" s="264"/>
      <c r="H65" s="264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64" t="s">
        <v>322</v>
      </c>
      <c r="E66" s="264"/>
      <c r="F66" s="264"/>
      <c r="G66" s="264"/>
      <c r="H66" s="264"/>
      <c r="I66" s="2">
        <v>0</v>
      </c>
      <c r="K66" s="175">
        <v>25</v>
      </c>
    </row>
    <row r="67" spans="3:12" ht="15" customHeight="1" x14ac:dyDescent="0.35">
      <c r="C67" s="279" t="s">
        <v>73</v>
      </c>
      <c r="D67" s="279"/>
      <c r="E67" s="279"/>
      <c r="F67" s="279"/>
      <c r="G67" s="279"/>
      <c r="H67" s="279"/>
      <c r="I67" s="6">
        <f>ROUND(SUM(I60:I66),2)</f>
        <v>720.83</v>
      </c>
      <c r="K67" s="177">
        <f>ROUND(SUM(K60:K66),2)</f>
        <v>792.38</v>
      </c>
    </row>
    <row r="68" spans="3:12" ht="15" customHeight="1" x14ac:dyDescent="0.35">
      <c r="D68" s="36"/>
    </row>
    <row r="69" spans="3:12" ht="15" customHeight="1" x14ac:dyDescent="0.35">
      <c r="C69" s="277" t="s">
        <v>81</v>
      </c>
      <c r="D69" s="277"/>
      <c r="E69" s="277"/>
      <c r="F69" s="277"/>
      <c r="G69" s="277"/>
      <c r="H69" s="277"/>
      <c r="I69" s="277"/>
    </row>
    <row r="70" spans="3:12" ht="15" customHeight="1" x14ac:dyDescent="0.35">
      <c r="C70" s="153">
        <v>2</v>
      </c>
      <c r="D70" s="279" t="s">
        <v>34</v>
      </c>
      <c r="E70" s="279"/>
      <c r="F70" s="279"/>
      <c r="G70" s="279"/>
      <c r="H70" s="279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6" t="s">
        <v>82</v>
      </c>
      <c r="E71" s="276"/>
      <c r="F71" s="276"/>
      <c r="G71" s="276"/>
      <c r="H71" s="7">
        <f>H44</f>
        <v>0.20429999999999998</v>
      </c>
      <c r="I71" s="11">
        <f>ROUND(I44,2)</f>
        <v>723.31</v>
      </c>
      <c r="J71" s="178">
        <f>J44</f>
        <v>0.20429999999999998</v>
      </c>
      <c r="K71" s="183">
        <f>ROUND(K44,2)</f>
        <v>759.47</v>
      </c>
    </row>
    <row r="72" spans="3:12" ht="15" customHeight="1" x14ac:dyDescent="0.35">
      <c r="C72" s="154" t="s">
        <v>75</v>
      </c>
      <c r="D72" s="276" t="s">
        <v>76</v>
      </c>
      <c r="E72" s="276"/>
      <c r="F72" s="276"/>
      <c r="G72" s="276"/>
      <c r="H72" s="7">
        <f>H56</f>
        <v>0.37130000000000002</v>
      </c>
      <c r="I72" s="11">
        <f>ROUND(I56,2)</f>
        <v>1583.13</v>
      </c>
      <c r="J72" s="178">
        <f>J56</f>
        <v>0.37130000000000002</v>
      </c>
      <c r="K72" s="183">
        <f>ROUND(K56,2)</f>
        <v>1662.26</v>
      </c>
    </row>
    <row r="73" spans="3:12" ht="15" customHeight="1" x14ac:dyDescent="0.35">
      <c r="C73" s="154" t="s">
        <v>80</v>
      </c>
      <c r="D73" s="273" t="s">
        <v>22</v>
      </c>
      <c r="E73" s="274"/>
      <c r="F73" s="274"/>
      <c r="G73" s="274"/>
      <c r="H73" s="275"/>
      <c r="I73" s="11">
        <f>ROUND(I67,2)</f>
        <v>720.83</v>
      </c>
      <c r="K73" s="183">
        <f>ROUND(K67,2)</f>
        <v>792.38</v>
      </c>
    </row>
    <row r="74" spans="3:12" ht="15" customHeight="1" x14ac:dyDescent="0.35">
      <c r="C74" s="279" t="s">
        <v>35</v>
      </c>
      <c r="D74" s="279"/>
      <c r="E74" s="279"/>
      <c r="F74" s="279"/>
      <c r="G74" s="279"/>
      <c r="H74" s="10">
        <f>ROUND(SUM(H71:H73),4)</f>
        <v>0.5756</v>
      </c>
      <c r="I74" s="9">
        <f>ROUND(SUM(I71:I73),2)</f>
        <v>3027.27</v>
      </c>
      <c r="J74" s="181">
        <f>ROUND(SUM(J71:J73),4)</f>
        <v>0.5756</v>
      </c>
      <c r="K74" s="180">
        <f>ROUND(SUM(K71:K73),2)</f>
        <v>3214.11</v>
      </c>
    </row>
    <row r="75" spans="3:12" ht="15" customHeight="1" x14ac:dyDescent="0.35">
      <c r="D75" s="36"/>
    </row>
    <row r="76" spans="3:12" ht="15" customHeight="1" x14ac:dyDescent="0.35">
      <c r="C76" s="277" t="s">
        <v>83</v>
      </c>
      <c r="D76" s="277"/>
      <c r="E76" s="277"/>
      <c r="F76" s="277"/>
      <c r="G76" s="277"/>
      <c r="H76" s="277"/>
      <c r="I76" s="277"/>
    </row>
    <row r="77" spans="3:12" ht="15" customHeight="1" x14ac:dyDescent="0.35">
      <c r="C77" s="153">
        <v>3</v>
      </c>
      <c r="D77" s="279" t="s">
        <v>33</v>
      </c>
      <c r="E77" s="279"/>
      <c r="F77" s="279"/>
      <c r="G77" s="279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6" t="s">
        <v>84</v>
      </c>
      <c r="E78" s="276"/>
      <c r="F78" s="276"/>
      <c r="G78" s="276"/>
      <c r="H78" s="7">
        <v>2.0000000000000001E-4</v>
      </c>
      <c r="I78" s="2">
        <f t="shared" ref="I78:I83" si="2">ROUND(I$37*H78,2)</f>
        <v>0.71</v>
      </c>
      <c r="J78" s="178">
        <v>2.0000000000000001E-4</v>
      </c>
      <c r="K78" s="175">
        <f t="shared" ref="K78:K83" si="3">ROUND(K$37*J78,2)</f>
        <v>0.74</v>
      </c>
    </row>
    <row r="79" spans="3:12" s="12" customFormat="1" ht="15" customHeight="1" x14ac:dyDescent="0.35">
      <c r="C79" s="154" t="s">
        <v>6</v>
      </c>
      <c r="D79" s="276" t="s">
        <v>55</v>
      </c>
      <c r="E79" s="276"/>
      <c r="F79" s="276"/>
      <c r="G79" s="276"/>
      <c r="H79" s="40">
        <f>ROUND(H78*H55,5)</f>
        <v>2.0000000000000002E-5</v>
      </c>
      <c r="I79" s="2">
        <f t="shared" si="2"/>
        <v>7.0000000000000007E-2</v>
      </c>
      <c r="J79" s="184">
        <f>ROUND(J78*J55,5)</f>
        <v>2.0000000000000002E-5</v>
      </c>
      <c r="K79" s="175">
        <f t="shared" si="3"/>
        <v>7.0000000000000007E-2</v>
      </c>
      <c r="L79" s="13"/>
    </row>
    <row r="80" spans="3:12" s="12" customFormat="1" ht="15" customHeight="1" x14ac:dyDescent="0.35">
      <c r="C80" s="154" t="s">
        <v>8</v>
      </c>
      <c r="D80" s="276" t="s">
        <v>85</v>
      </c>
      <c r="E80" s="276"/>
      <c r="F80" s="276"/>
      <c r="G80" s="276"/>
      <c r="H80" s="7">
        <v>3.9899999999999998E-2</v>
      </c>
      <c r="I80" s="2">
        <f t="shared" si="2"/>
        <v>141.26</v>
      </c>
      <c r="J80" s="178">
        <v>3.9899999999999998E-2</v>
      </c>
      <c r="K80" s="175">
        <f t="shared" si="3"/>
        <v>148.33000000000001</v>
      </c>
      <c r="L80" s="13"/>
    </row>
    <row r="81" spans="3:12" s="12" customFormat="1" ht="15" customHeight="1" x14ac:dyDescent="0.35">
      <c r="C81" s="154" t="s">
        <v>10</v>
      </c>
      <c r="D81" s="276" t="s">
        <v>86</v>
      </c>
      <c r="E81" s="276"/>
      <c r="F81" s="276"/>
      <c r="G81" s="276"/>
      <c r="H81" s="7">
        <v>2.0000000000000001E-4</v>
      </c>
      <c r="I81" s="2">
        <f t="shared" si="2"/>
        <v>0.71</v>
      </c>
      <c r="J81" s="178">
        <v>2.0000000000000001E-4</v>
      </c>
      <c r="K81" s="175">
        <f t="shared" si="3"/>
        <v>0.74</v>
      </c>
      <c r="L81" s="13"/>
    </row>
    <row r="82" spans="3:12" s="12" customFormat="1" ht="15" customHeight="1" x14ac:dyDescent="0.35">
      <c r="C82" s="154" t="s">
        <v>11</v>
      </c>
      <c r="D82" s="276" t="s">
        <v>87</v>
      </c>
      <c r="E82" s="276"/>
      <c r="F82" s="276"/>
      <c r="G82" s="276"/>
      <c r="H82" s="40">
        <f>ROUND(H81*H56,5)</f>
        <v>6.9999999999999994E-5</v>
      </c>
      <c r="I82" s="2">
        <f t="shared" si="2"/>
        <v>0.25</v>
      </c>
      <c r="J82" s="184">
        <f>ROUND(J81*J56,5)</f>
        <v>6.9999999999999994E-5</v>
      </c>
      <c r="K82" s="175">
        <f t="shared" si="3"/>
        <v>0.26</v>
      </c>
      <c r="L82" s="13"/>
    </row>
    <row r="83" spans="3:12" s="12" customFormat="1" ht="15" customHeight="1" x14ac:dyDescent="0.35">
      <c r="C83" s="154" t="s">
        <v>12</v>
      </c>
      <c r="D83" s="276" t="s">
        <v>88</v>
      </c>
      <c r="E83" s="276"/>
      <c r="F83" s="276"/>
      <c r="G83" s="276"/>
      <c r="H83" s="7">
        <v>1E-4</v>
      </c>
      <c r="I83" s="2">
        <f t="shared" si="2"/>
        <v>0.35</v>
      </c>
      <c r="J83" s="178">
        <v>1E-4</v>
      </c>
      <c r="K83" s="175">
        <f t="shared" si="3"/>
        <v>0.37</v>
      </c>
      <c r="L83" s="13"/>
    </row>
    <row r="84" spans="3:12" ht="15" customHeight="1" x14ac:dyDescent="0.35">
      <c r="C84" s="268" t="s">
        <v>73</v>
      </c>
      <c r="D84" s="269"/>
      <c r="E84" s="269"/>
      <c r="F84" s="269"/>
      <c r="G84" s="270"/>
      <c r="H84" s="8">
        <f>ROUND(SUM(H78:H83),4)</f>
        <v>4.0500000000000001E-2</v>
      </c>
      <c r="I84" s="9">
        <f>ROUND(SUM(I78:I83),2)</f>
        <v>143.35</v>
      </c>
      <c r="J84" s="179">
        <f>ROUND(SUM(J78:J83),4)</f>
        <v>4.0500000000000001E-2</v>
      </c>
      <c r="K84" s="180">
        <f>ROUND(SUM(K78:K83),2)</f>
        <v>150.51</v>
      </c>
    </row>
    <row r="86" spans="3:12" ht="15" customHeight="1" x14ac:dyDescent="0.35">
      <c r="C86" s="277" t="s">
        <v>89</v>
      </c>
      <c r="D86" s="277"/>
      <c r="E86" s="277"/>
      <c r="F86" s="277"/>
      <c r="G86" s="277"/>
      <c r="H86" s="277"/>
      <c r="I86" s="277"/>
    </row>
    <row r="87" spans="3:12" ht="15" customHeight="1" x14ac:dyDescent="0.35">
      <c r="C87" s="153" t="s">
        <v>24</v>
      </c>
      <c r="D87" s="279" t="s">
        <v>54</v>
      </c>
      <c r="E87" s="279"/>
      <c r="F87" s="279"/>
      <c r="G87" s="279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6" t="s">
        <v>105</v>
      </c>
      <c r="E88" s="276"/>
      <c r="F88" s="276"/>
      <c r="G88" s="276"/>
      <c r="H88" s="7">
        <v>2.9999999999999997E-4</v>
      </c>
      <c r="I88" s="2">
        <f t="shared" ref="I88:I93" si="4">ROUND(I$37*H88,2)</f>
        <v>1.06</v>
      </c>
      <c r="J88" s="178">
        <v>2.9999999999999997E-4</v>
      </c>
      <c r="K88" s="175">
        <f t="shared" ref="K88:K93" si="5">ROUND(K$37*J88,2)</f>
        <v>1.1200000000000001</v>
      </c>
    </row>
    <row r="89" spans="3:12" ht="15" customHeight="1" x14ac:dyDescent="0.35">
      <c r="C89" s="38" t="s">
        <v>6</v>
      </c>
      <c r="D89" s="276" t="s">
        <v>106</v>
      </c>
      <c r="E89" s="276"/>
      <c r="F89" s="276"/>
      <c r="G89" s="276"/>
      <c r="H89" s="7">
        <v>2.0000000000000001E-4</v>
      </c>
      <c r="I89" s="2">
        <f t="shared" si="4"/>
        <v>0.71</v>
      </c>
      <c r="J89" s="178">
        <v>2.0000000000000001E-4</v>
      </c>
      <c r="K89" s="175">
        <f t="shared" si="5"/>
        <v>0.74</v>
      </c>
    </row>
    <row r="90" spans="3:12" ht="15" customHeight="1" x14ac:dyDescent="0.35">
      <c r="C90" s="38" t="s">
        <v>8</v>
      </c>
      <c r="D90" s="276" t="s">
        <v>107</v>
      </c>
      <c r="E90" s="276"/>
      <c r="F90" s="276"/>
      <c r="G90" s="276"/>
      <c r="H90" s="7">
        <v>1E-4</v>
      </c>
      <c r="I90" s="2">
        <f t="shared" si="4"/>
        <v>0.35</v>
      </c>
      <c r="J90" s="178">
        <v>1E-4</v>
      </c>
      <c r="K90" s="175">
        <f t="shared" si="5"/>
        <v>0.37</v>
      </c>
    </row>
    <row r="91" spans="3:12" ht="15" customHeight="1" x14ac:dyDescent="0.35">
      <c r="C91" s="38" t="s">
        <v>10</v>
      </c>
      <c r="D91" s="276" t="s">
        <v>108</v>
      </c>
      <c r="E91" s="276"/>
      <c r="F91" s="276"/>
      <c r="G91" s="276"/>
      <c r="H91" s="7">
        <v>2.0000000000000001E-4</v>
      </c>
      <c r="I91" s="2">
        <f t="shared" si="4"/>
        <v>0.71</v>
      </c>
      <c r="J91" s="178">
        <v>2.0000000000000001E-4</v>
      </c>
      <c r="K91" s="175">
        <f t="shared" si="5"/>
        <v>0.74</v>
      </c>
    </row>
    <row r="92" spans="3:12" ht="15" customHeight="1" x14ac:dyDescent="0.35">
      <c r="C92" s="38" t="s">
        <v>11</v>
      </c>
      <c r="D92" s="276" t="s">
        <v>109</v>
      </c>
      <c r="E92" s="276"/>
      <c r="F92" s="276"/>
      <c r="G92" s="276"/>
      <c r="H92" s="7">
        <v>1E-4</v>
      </c>
      <c r="I92" s="2">
        <f t="shared" si="4"/>
        <v>0.35</v>
      </c>
      <c r="J92" s="178">
        <v>1E-4</v>
      </c>
      <c r="K92" s="175">
        <f t="shared" si="5"/>
        <v>0.37</v>
      </c>
    </row>
    <row r="93" spans="3:12" ht="15" customHeight="1" x14ac:dyDescent="0.35">
      <c r="C93" s="38" t="s">
        <v>12</v>
      </c>
      <c r="D93" s="276" t="s">
        <v>150</v>
      </c>
      <c r="E93" s="276"/>
      <c r="F93" s="276"/>
      <c r="G93" s="276"/>
      <c r="H93" s="7">
        <v>1E-4</v>
      </c>
      <c r="I93" s="2">
        <f t="shared" si="4"/>
        <v>0.35</v>
      </c>
      <c r="J93" s="178">
        <v>1E-4</v>
      </c>
      <c r="K93" s="175">
        <f t="shared" si="5"/>
        <v>0.37</v>
      </c>
    </row>
    <row r="94" spans="3:12" ht="15" customHeight="1" x14ac:dyDescent="0.35">
      <c r="C94" s="268" t="s">
        <v>73</v>
      </c>
      <c r="D94" s="269"/>
      <c r="E94" s="269"/>
      <c r="F94" s="269"/>
      <c r="G94" s="270"/>
      <c r="H94" s="8">
        <f>SUM(H88:H93)</f>
        <v>1E-3</v>
      </c>
      <c r="I94" s="9">
        <f>SUM(I88:I93)</f>
        <v>3.5300000000000002</v>
      </c>
      <c r="J94" s="179">
        <f>SUM(J88:J93)</f>
        <v>1E-3</v>
      </c>
      <c r="K94" s="180">
        <f>SUM(K88:K93)</f>
        <v>3.71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72" t="s">
        <v>110</v>
      </c>
      <c r="D96" s="272"/>
      <c r="E96" s="272"/>
      <c r="F96" s="272"/>
      <c r="G96" s="272"/>
      <c r="H96" s="272"/>
      <c r="I96" s="272"/>
    </row>
    <row r="97" spans="3:11" ht="15" customHeight="1" x14ac:dyDescent="0.35">
      <c r="C97" s="153" t="s">
        <v>32</v>
      </c>
      <c r="D97" s="268" t="s">
        <v>111</v>
      </c>
      <c r="E97" s="269"/>
      <c r="F97" s="269"/>
      <c r="G97" s="269"/>
      <c r="H97" s="270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73" t="s">
        <v>112</v>
      </c>
      <c r="E98" s="274"/>
      <c r="F98" s="274"/>
      <c r="G98" s="274"/>
      <c r="H98" s="275"/>
      <c r="I98" s="2">
        <f>ROUND((I30+I31)/220*0.5*15,2)</f>
        <v>120.7</v>
      </c>
      <c r="K98" s="175">
        <f>ROUND((K30+K31)/220*1.5*15,2)</f>
        <v>380.19</v>
      </c>
    </row>
    <row r="99" spans="3:11" ht="15" customHeight="1" x14ac:dyDescent="0.35">
      <c r="C99" s="268" t="s">
        <v>73</v>
      </c>
      <c r="D99" s="269"/>
      <c r="E99" s="269"/>
      <c r="F99" s="269"/>
      <c r="G99" s="269"/>
      <c r="H99" s="270"/>
      <c r="I99" s="9">
        <f>ROUND(SUM(I98:I98),2)</f>
        <v>120.7</v>
      </c>
      <c r="K99" s="180">
        <f>ROUND(SUM(K98:K98),2)</f>
        <v>380.19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72" t="s">
        <v>90</v>
      </c>
      <c r="D101" s="272"/>
      <c r="E101" s="272"/>
      <c r="F101" s="272"/>
      <c r="G101" s="272"/>
      <c r="H101" s="272"/>
      <c r="I101" s="272"/>
      <c r="K101" s="187"/>
    </row>
    <row r="102" spans="3:11" ht="15" customHeight="1" x14ac:dyDescent="0.35">
      <c r="C102" s="153">
        <v>4</v>
      </c>
      <c r="D102" s="268" t="s">
        <v>100</v>
      </c>
      <c r="E102" s="269"/>
      <c r="F102" s="269"/>
      <c r="G102" s="269"/>
      <c r="H102" s="270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73" t="s">
        <v>113</v>
      </c>
      <c r="E103" s="274"/>
      <c r="F103" s="274"/>
      <c r="G103" s="274"/>
      <c r="H103" s="275"/>
      <c r="I103" s="2">
        <f>ROUND(I94,2)</f>
        <v>3.53</v>
      </c>
      <c r="K103" s="175">
        <f>ROUND(K94,2)</f>
        <v>3.71</v>
      </c>
    </row>
    <row r="104" spans="3:11" ht="15" customHeight="1" x14ac:dyDescent="0.35">
      <c r="C104" s="17" t="s">
        <v>32</v>
      </c>
      <c r="D104" s="273" t="s">
        <v>111</v>
      </c>
      <c r="E104" s="274"/>
      <c r="F104" s="274"/>
      <c r="G104" s="274"/>
      <c r="H104" s="275"/>
      <c r="I104" s="2">
        <f>ROUND(I99,2)</f>
        <v>120.7</v>
      </c>
      <c r="K104" s="175">
        <f>ROUND(K99,2)</f>
        <v>380.19</v>
      </c>
    </row>
    <row r="105" spans="3:11" ht="15" customHeight="1" x14ac:dyDescent="0.35">
      <c r="C105" s="268" t="s">
        <v>73</v>
      </c>
      <c r="D105" s="269"/>
      <c r="E105" s="269"/>
      <c r="F105" s="269"/>
      <c r="G105" s="269"/>
      <c r="H105" s="270"/>
      <c r="I105" s="9">
        <f>ROUND(SUM(I103:I104),2)</f>
        <v>124.23</v>
      </c>
      <c r="K105" s="180">
        <f>ROUND(SUM(K103:K104),2)</f>
        <v>383.9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7" t="s">
        <v>91</v>
      </c>
      <c r="D107" s="277"/>
      <c r="E107" s="277"/>
      <c r="F107" s="277"/>
      <c r="G107" s="277"/>
      <c r="H107" s="277"/>
      <c r="I107" s="277"/>
      <c r="J107" s="187"/>
    </row>
    <row r="108" spans="3:11" ht="15" customHeight="1" x14ac:dyDescent="0.35">
      <c r="C108" s="153">
        <v>5</v>
      </c>
      <c r="D108" s="278" t="s">
        <v>23</v>
      </c>
      <c r="E108" s="278"/>
      <c r="F108" s="278"/>
      <c r="G108" s="278"/>
      <c r="H108" s="278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64" t="s">
        <v>173</v>
      </c>
      <c r="E109" s="264"/>
      <c r="F109" s="264"/>
      <c r="G109" s="264"/>
      <c r="H109" s="264"/>
      <c r="I109" s="2">
        <f>'unif equip'!G17</f>
        <v>92.16</v>
      </c>
      <c r="J109" s="187"/>
      <c r="K109" s="175">
        <f>'unif equip'!G17</f>
        <v>92.16</v>
      </c>
    </row>
    <row r="110" spans="3:11" ht="15" customHeight="1" x14ac:dyDescent="0.35">
      <c r="C110" s="38" t="s">
        <v>6</v>
      </c>
      <c r="D110" s="276" t="s">
        <v>174</v>
      </c>
      <c r="E110" s="264"/>
      <c r="F110" s="264"/>
      <c r="G110" s="264"/>
      <c r="H110" s="264"/>
      <c r="I110" s="2">
        <f>'unif equip'!H67</f>
        <v>4.8899999999999997</v>
      </c>
      <c r="J110" s="187"/>
      <c r="K110" s="175">
        <f>'unif equip'!H67</f>
        <v>4.8899999999999997</v>
      </c>
    </row>
    <row r="111" spans="3:11" ht="15" customHeight="1" x14ac:dyDescent="0.35">
      <c r="C111" s="38" t="s">
        <v>8</v>
      </c>
      <c r="D111" s="276" t="s">
        <v>175</v>
      </c>
      <c r="E111" s="264"/>
      <c r="F111" s="264"/>
      <c r="G111" s="264"/>
      <c r="H111" s="264"/>
      <c r="I111" s="2">
        <f>'unif equip'!H43</f>
        <v>45.69</v>
      </c>
      <c r="J111" s="187"/>
      <c r="K111" s="175">
        <f>'unif equip'!H43</f>
        <v>45.69</v>
      </c>
    </row>
    <row r="112" spans="3:11" ht="15" customHeight="1" x14ac:dyDescent="0.35">
      <c r="C112" s="38" t="s">
        <v>10</v>
      </c>
      <c r="D112" s="264" t="s">
        <v>176</v>
      </c>
      <c r="E112" s="264"/>
      <c r="F112" s="264"/>
      <c r="G112" s="264"/>
      <c r="H112" s="264"/>
      <c r="I112" s="2">
        <v>0</v>
      </c>
      <c r="J112" s="187"/>
      <c r="K112" s="175">
        <v>0</v>
      </c>
    </row>
    <row r="113" spans="3:11" ht="15" customHeight="1" x14ac:dyDescent="0.35">
      <c r="C113" s="268" t="s">
        <v>73</v>
      </c>
      <c r="D113" s="269"/>
      <c r="E113" s="269"/>
      <c r="F113" s="269"/>
      <c r="G113" s="269"/>
      <c r="H113" s="270"/>
      <c r="I113" s="6">
        <f>ROUND(SUM(I109:I112),2)</f>
        <v>142.74</v>
      </c>
      <c r="J113" s="187"/>
      <c r="K113" s="177">
        <f>ROUND(SUM(K109:K112),2)</f>
        <v>142.74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65" t="s">
        <v>92</v>
      </c>
      <c r="D115" s="265"/>
      <c r="E115" s="265"/>
      <c r="F115" s="265"/>
      <c r="G115" s="265"/>
      <c r="H115" s="265"/>
      <c r="I115" s="265"/>
    </row>
    <row r="116" spans="3:11" ht="15" customHeight="1" x14ac:dyDescent="0.35">
      <c r="C116" s="39">
        <v>6</v>
      </c>
      <c r="D116" s="271" t="s">
        <v>50</v>
      </c>
      <c r="E116" s="271"/>
      <c r="F116" s="271"/>
      <c r="G116" s="271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67" t="s">
        <v>93</v>
      </c>
      <c r="E117" s="267"/>
      <c r="F117" s="267"/>
      <c r="G117" s="267"/>
      <c r="H117" s="19">
        <v>0.01</v>
      </c>
      <c r="I117" s="20">
        <f>ROUND(H117*SUM($I$113,$I$105,$I$84,$I$74,$I$37),2)</f>
        <v>69.78</v>
      </c>
      <c r="J117" s="190">
        <v>0.01</v>
      </c>
      <c r="K117" s="191">
        <f>ROUND(J117*SUM($K$113,$K$105,$K$84,$K$74,$K$37),2)</f>
        <v>76.09</v>
      </c>
    </row>
    <row r="118" spans="3:11" ht="15" customHeight="1" x14ac:dyDescent="0.35">
      <c r="C118" s="38" t="s">
        <v>6</v>
      </c>
      <c r="D118" s="267" t="s">
        <v>94</v>
      </c>
      <c r="E118" s="267"/>
      <c r="F118" s="267"/>
      <c r="G118" s="267"/>
      <c r="H118" s="19">
        <v>8.0000000000000002E-3</v>
      </c>
      <c r="I118" s="20">
        <f>ROUND(H118*SUM($I$113,$I$105,$I$84,$I$74,$I$37,I117),2)</f>
        <v>56.38</v>
      </c>
      <c r="J118" s="190">
        <v>8.0000000000000002E-3</v>
      </c>
      <c r="K118" s="191">
        <f>ROUND(J118*SUM($K$113,$K$105,$K$84,$K$74,$K$37,K117),2)</f>
        <v>61.48</v>
      </c>
    </row>
    <row r="119" spans="3:11" ht="15" customHeight="1" x14ac:dyDescent="0.35">
      <c r="C119" s="261" t="s">
        <v>8</v>
      </c>
      <c r="D119" s="267" t="s">
        <v>36</v>
      </c>
      <c r="E119" s="267"/>
      <c r="F119" s="267"/>
      <c r="G119" s="267"/>
      <c r="H119" s="19">
        <f>H120+H121+H122</f>
        <v>8.6499999999999994E-2</v>
      </c>
      <c r="I119" s="20">
        <f ca="1">ROUND(SUM(I120,I121,I122),2)</f>
        <v>672.7</v>
      </c>
      <c r="J119" s="190">
        <f>J120+J121+J122</f>
        <v>8.6499999999999994E-2</v>
      </c>
      <c r="K119" s="191">
        <f ca="1">ROUND(SUM(K120,K121,K122),2)</f>
        <v>733.5</v>
      </c>
    </row>
    <row r="120" spans="3:11" ht="15" customHeight="1" x14ac:dyDescent="0.35">
      <c r="C120" s="262"/>
      <c r="D120" s="267" t="s">
        <v>95</v>
      </c>
      <c r="E120" s="267"/>
      <c r="F120" s="267"/>
      <c r="G120" s="267"/>
      <c r="H120" s="19">
        <f>ROUND(3%+0.65%,4)</f>
        <v>3.6499999999999998E-2</v>
      </c>
      <c r="I120" s="20">
        <f ca="1">ROUND(H120*$I$134,2)</f>
        <v>283.86</v>
      </c>
      <c r="J120" s="190">
        <f>ROUND(3%+0.65%,4)</f>
        <v>3.6499999999999998E-2</v>
      </c>
      <c r="K120" s="191">
        <f ca="1">ROUND(J120*$K$134,2)</f>
        <v>309.51</v>
      </c>
    </row>
    <row r="121" spans="3:11" ht="15" customHeight="1" x14ac:dyDescent="0.35">
      <c r="C121" s="262"/>
      <c r="D121" s="267" t="s">
        <v>96</v>
      </c>
      <c r="E121" s="267"/>
      <c r="F121" s="267"/>
      <c r="G121" s="267"/>
      <c r="H121" s="19">
        <f>ROUND(5%,4)</f>
        <v>0.05</v>
      </c>
      <c r="I121" s="20">
        <f ca="1">ROUND(H121*$I$134,2)</f>
        <v>388.84</v>
      </c>
      <c r="J121" s="190">
        <f>ROUND(5%,4)</f>
        <v>0.05</v>
      </c>
      <c r="K121" s="191">
        <f ca="1">ROUND(J121*$K$134,2)</f>
        <v>423.99</v>
      </c>
    </row>
    <row r="122" spans="3:11" ht="15" customHeight="1" x14ac:dyDescent="0.35">
      <c r="C122" s="263"/>
      <c r="D122" s="267" t="s">
        <v>97</v>
      </c>
      <c r="E122" s="267"/>
      <c r="F122" s="267"/>
      <c r="G122" s="26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58" t="s">
        <v>35</v>
      </c>
      <c r="D123" s="259"/>
      <c r="E123" s="259"/>
      <c r="F123" s="259"/>
      <c r="G123" s="259"/>
      <c r="H123" s="260"/>
      <c r="I123" s="22">
        <f ca="1">ROUND(SUM(I117,I118,I119),2)</f>
        <v>798.86</v>
      </c>
      <c r="K123" s="193">
        <f ca="1">ROUND(SUM(K117,K118,K119),2)</f>
        <v>871.07</v>
      </c>
    </row>
    <row r="125" spans="3:11" ht="15" customHeight="1" x14ac:dyDescent="0.35">
      <c r="C125" s="265" t="s">
        <v>98</v>
      </c>
      <c r="D125" s="265"/>
      <c r="E125" s="265"/>
      <c r="F125" s="265"/>
      <c r="G125" s="265"/>
      <c r="H125" s="265"/>
      <c r="I125" s="265"/>
    </row>
    <row r="126" spans="3:11" ht="15" customHeight="1" x14ac:dyDescent="0.35">
      <c r="C126" s="38"/>
      <c r="D126" s="266" t="s">
        <v>51</v>
      </c>
      <c r="E126" s="266"/>
      <c r="F126" s="266"/>
      <c r="G126" s="266"/>
      <c r="H126" s="266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64" t="s">
        <v>37</v>
      </c>
      <c r="E127" s="264"/>
      <c r="F127" s="264"/>
      <c r="G127" s="264"/>
      <c r="H127" s="264"/>
      <c r="I127" s="23">
        <f>ROUND(I37,2)</f>
        <v>3540.43</v>
      </c>
      <c r="K127" s="194">
        <f>ROUND(K37,2)</f>
        <v>3717.45</v>
      </c>
    </row>
    <row r="128" spans="3:11" ht="15" customHeight="1" x14ac:dyDescent="0.35">
      <c r="C128" s="38" t="s">
        <v>6</v>
      </c>
      <c r="D128" s="264" t="s">
        <v>68</v>
      </c>
      <c r="E128" s="264"/>
      <c r="F128" s="264"/>
      <c r="G128" s="264"/>
      <c r="H128" s="264"/>
      <c r="I128" s="23">
        <f>ROUND(I74,2)</f>
        <v>3027.27</v>
      </c>
      <c r="K128" s="194">
        <f>ROUND(K74,2)</f>
        <v>3214.11</v>
      </c>
    </row>
    <row r="129" spans="3:12" ht="15" customHeight="1" x14ac:dyDescent="0.35">
      <c r="C129" s="38" t="s">
        <v>8</v>
      </c>
      <c r="D129" s="264" t="s">
        <v>83</v>
      </c>
      <c r="E129" s="264"/>
      <c r="F129" s="264"/>
      <c r="G129" s="264"/>
      <c r="H129" s="264"/>
      <c r="I129" s="23">
        <f>ROUND(I84,2)</f>
        <v>143.35</v>
      </c>
      <c r="K129" s="194">
        <f>ROUND(K84,2)</f>
        <v>150.51</v>
      </c>
    </row>
    <row r="130" spans="3:12" ht="15" customHeight="1" x14ac:dyDescent="0.35">
      <c r="C130" s="38" t="s">
        <v>10</v>
      </c>
      <c r="D130" s="264" t="s">
        <v>89</v>
      </c>
      <c r="E130" s="264"/>
      <c r="F130" s="264"/>
      <c r="G130" s="264"/>
      <c r="H130" s="264"/>
      <c r="I130" s="23">
        <f>ROUND(I105,2)</f>
        <v>124.23</v>
      </c>
      <c r="K130" s="194">
        <f>ROUND(K105,2)</f>
        <v>383.9</v>
      </c>
    </row>
    <row r="131" spans="3:12" ht="15" customHeight="1" x14ac:dyDescent="0.35">
      <c r="C131" s="38" t="s">
        <v>11</v>
      </c>
      <c r="D131" s="264" t="s">
        <v>91</v>
      </c>
      <c r="E131" s="264"/>
      <c r="F131" s="264"/>
      <c r="G131" s="264"/>
      <c r="H131" s="264"/>
      <c r="I131" s="23">
        <f>ROUND(I113,2)</f>
        <v>142.74</v>
      </c>
      <c r="K131" s="194">
        <f>ROUND(K113,2)</f>
        <v>142.74</v>
      </c>
    </row>
    <row r="132" spans="3:12" ht="15" customHeight="1" x14ac:dyDescent="0.35">
      <c r="C132" s="258" t="s">
        <v>223</v>
      </c>
      <c r="D132" s="259"/>
      <c r="E132" s="259"/>
      <c r="F132" s="259"/>
      <c r="G132" s="259"/>
      <c r="H132" s="260"/>
      <c r="I132" s="24">
        <f>ROUND(SUM(I127:I131),2)</f>
        <v>6978.02</v>
      </c>
      <c r="J132" s="187"/>
      <c r="K132" s="195">
        <f>ROUND(SUM(K127:K131),2)</f>
        <v>7608.71</v>
      </c>
    </row>
    <row r="133" spans="3:12" ht="15" customHeight="1" x14ac:dyDescent="0.35">
      <c r="C133" s="38" t="s">
        <v>12</v>
      </c>
      <c r="D133" s="264" t="s">
        <v>99</v>
      </c>
      <c r="E133" s="264"/>
      <c r="F133" s="264"/>
      <c r="G133" s="264"/>
      <c r="H133" s="264"/>
      <c r="I133" s="23">
        <f ca="1">ROUND(I123,2)</f>
        <v>798.86</v>
      </c>
      <c r="J133" s="187"/>
      <c r="K133" s="194">
        <f ca="1">ROUND(K123,2)</f>
        <v>871.07</v>
      </c>
    </row>
    <row r="134" spans="3:12" ht="15" customHeight="1" x14ac:dyDescent="0.35">
      <c r="C134" s="258" t="s">
        <v>52</v>
      </c>
      <c r="D134" s="259"/>
      <c r="E134" s="259"/>
      <c r="F134" s="259"/>
      <c r="G134" s="259"/>
      <c r="H134" s="260"/>
      <c r="I134" s="24">
        <f ca="1">ROUND(SUM(I132:I133),2)</f>
        <v>7776.88</v>
      </c>
      <c r="K134" s="195">
        <f ca="1">ROUND(SUM(K132:K133),2)</f>
        <v>8479.7800000000007</v>
      </c>
      <c r="L134" s="25"/>
    </row>
    <row r="135" spans="3:12" ht="15" customHeight="1" x14ac:dyDescent="0.35">
      <c r="C135" s="258" t="s">
        <v>119</v>
      </c>
      <c r="D135" s="259"/>
      <c r="E135" s="259"/>
      <c r="F135" s="259"/>
      <c r="G135" s="259"/>
      <c r="H135" s="260"/>
      <c r="I135" s="24">
        <f ca="1">ROUND(2*I134,2)</f>
        <v>15553.76</v>
      </c>
      <c r="K135" s="195">
        <f ca="1">ROUND(2*K134,2)</f>
        <v>16959.560000000001</v>
      </c>
    </row>
    <row r="136" spans="3:12" ht="15" customHeight="1" x14ac:dyDescent="0.35">
      <c r="C136"/>
      <c r="D136"/>
      <c r="E136"/>
      <c r="F136"/>
      <c r="G136"/>
      <c r="H136"/>
      <c r="I136"/>
      <c r="J136" s="205"/>
      <c r="K136" s="206"/>
    </row>
    <row r="137" spans="3:12" ht="15" customHeight="1" x14ac:dyDescent="0.35">
      <c r="C137"/>
      <c r="D137"/>
      <c r="E137"/>
      <c r="F137"/>
      <c r="G137"/>
      <c r="H137"/>
      <c r="I137"/>
      <c r="J137" s="205"/>
      <c r="K137" s="206"/>
    </row>
    <row r="138" spans="3:12" ht="15" customHeight="1" x14ac:dyDescent="0.35">
      <c r="C138"/>
      <c r="D138"/>
      <c r="E138"/>
      <c r="F138"/>
      <c r="G138"/>
      <c r="H138"/>
      <c r="I138"/>
      <c r="J138" s="196"/>
      <c r="K138" s="196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  <mergeCell ref="D130:H130"/>
    <mergeCell ref="D131:H131"/>
    <mergeCell ref="C132:H132"/>
    <mergeCell ref="D133:H133"/>
    <mergeCell ref="C134:H134"/>
    <mergeCell ref="C135:H135"/>
    <mergeCell ref="C123:H123"/>
    <mergeCell ref="C125:I125"/>
    <mergeCell ref="D126:H126"/>
    <mergeCell ref="D127:H127"/>
    <mergeCell ref="D128:H128"/>
    <mergeCell ref="D129:H129"/>
    <mergeCell ref="D117:G117"/>
    <mergeCell ref="D118:G118"/>
    <mergeCell ref="C119:C122"/>
    <mergeCell ref="D119:G119"/>
    <mergeCell ref="D120:G120"/>
    <mergeCell ref="D121:G121"/>
    <mergeCell ref="D122:G122"/>
    <mergeCell ref="D110:H110"/>
    <mergeCell ref="D111:H111"/>
    <mergeCell ref="D112:H112"/>
    <mergeCell ref="C113:H113"/>
    <mergeCell ref="C115:I115"/>
    <mergeCell ref="D116:G116"/>
    <mergeCell ref="D103:H103"/>
    <mergeCell ref="D104:H104"/>
    <mergeCell ref="C105:H105"/>
    <mergeCell ref="C107:I107"/>
    <mergeCell ref="D108:H108"/>
    <mergeCell ref="D109:H109"/>
    <mergeCell ref="C96:I96"/>
    <mergeCell ref="D97:H97"/>
    <mergeCell ref="D98:H98"/>
    <mergeCell ref="C99:H99"/>
    <mergeCell ref="C101:I101"/>
    <mergeCell ref="D102:H102"/>
    <mergeCell ref="D89:G89"/>
    <mergeCell ref="D90:G90"/>
    <mergeCell ref="D91:G91"/>
    <mergeCell ref="D92:G92"/>
    <mergeCell ref="D93:G93"/>
    <mergeCell ref="C94:G94"/>
    <mergeCell ref="D82:G82"/>
    <mergeCell ref="D83:G83"/>
    <mergeCell ref="C84:G84"/>
    <mergeCell ref="C86:I86"/>
    <mergeCell ref="D87:G87"/>
    <mergeCell ref="D88:G88"/>
    <mergeCell ref="C76:I76"/>
    <mergeCell ref="D77:G77"/>
    <mergeCell ref="D78:G78"/>
    <mergeCell ref="D79:G79"/>
    <mergeCell ref="D80:G80"/>
    <mergeCell ref="D81:G81"/>
    <mergeCell ref="C69:I69"/>
    <mergeCell ref="D70:H70"/>
    <mergeCell ref="D71:G71"/>
    <mergeCell ref="D72:G72"/>
    <mergeCell ref="D73:H73"/>
    <mergeCell ref="C74:G74"/>
    <mergeCell ref="D62:H62"/>
    <mergeCell ref="D63:H63"/>
    <mergeCell ref="D64:H64"/>
    <mergeCell ref="D65:H65"/>
    <mergeCell ref="D66:H66"/>
    <mergeCell ref="C67:H67"/>
    <mergeCell ref="C56:G56"/>
    <mergeCell ref="C58:I58"/>
    <mergeCell ref="D59:H59"/>
    <mergeCell ref="C60:C61"/>
    <mergeCell ref="D60:H60"/>
    <mergeCell ref="D61:H61"/>
    <mergeCell ref="D50:G50"/>
    <mergeCell ref="D51:G51"/>
    <mergeCell ref="D52:G52"/>
    <mergeCell ref="D53:G53"/>
    <mergeCell ref="D54:G54"/>
    <mergeCell ref="D55:G55"/>
    <mergeCell ref="D43:G43"/>
    <mergeCell ref="C44:G44"/>
    <mergeCell ref="C46:I46"/>
    <mergeCell ref="D47:G47"/>
    <mergeCell ref="D48:G48"/>
    <mergeCell ref="D49:G49"/>
    <mergeCell ref="D36:H36"/>
    <mergeCell ref="C37:H37"/>
    <mergeCell ref="C39:I39"/>
    <mergeCell ref="C40:I40"/>
    <mergeCell ref="D41:G41"/>
    <mergeCell ref="D42:G42"/>
    <mergeCell ref="D30:H30"/>
    <mergeCell ref="D31:H31"/>
    <mergeCell ref="D32:H32"/>
    <mergeCell ref="D33:H33"/>
    <mergeCell ref="D34:H34"/>
    <mergeCell ref="D35:H35"/>
    <mergeCell ref="D25:G25"/>
    <mergeCell ref="H25:I25"/>
    <mergeCell ref="D26:G26"/>
    <mergeCell ref="H26:I26"/>
    <mergeCell ref="C28:I28"/>
    <mergeCell ref="D29:H29"/>
    <mergeCell ref="D22:G22"/>
    <mergeCell ref="H22:I22"/>
    <mergeCell ref="D23:G23"/>
    <mergeCell ref="H23:I23"/>
    <mergeCell ref="D24:G24"/>
    <mergeCell ref="H24:I24"/>
    <mergeCell ref="C17:E17"/>
    <mergeCell ref="F17:G17"/>
    <mergeCell ref="H17:I17"/>
    <mergeCell ref="C19:I19"/>
    <mergeCell ref="C20:I20"/>
    <mergeCell ref="C21:I21"/>
    <mergeCell ref="D13:G13"/>
    <mergeCell ref="H13:I13"/>
    <mergeCell ref="C15:I15"/>
    <mergeCell ref="C16:E16"/>
    <mergeCell ref="F16:G16"/>
    <mergeCell ref="H16:I16"/>
    <mergeCell ref="C9:I9"/>
    <mergeCell ref="D10:G10"/>
    <mergeCell ref="H10:I10"/>
    <mergeCell ref="D11:G11"/>
    <mergeCell ref="H11:I11"/>
    <mergeCell ref="D12:G12"/>
    <mergeCell ref="H12:I12"/>
    <mergeCell ref="C2:I2"/>
    <mergeCell ref="C4:G4"/>
    <mergeCell ref="H4:I4"/>
    <mergeCell ref="C5:G5"/>
    <mergeCell ref="H5:I5"/>
    <mergeCell ref="C7:H7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13AFD-BD95-4AD5-ABAB-FB48D58E65E1}">
  <dimension ref="C2:M179"/>
  <sheetViews>
    <sheetView showGridLines="0" topLeftCell="A21" zoomScale="70" zoomScaleNormal="70" zoomScaleSheetLayoutView="100" workbookViewId="0">
      <pane xSplit="8" ySplit="8" topLeftCell="I113" activePane="bottomRight" state="frozen"/>
      <selection activeCell="A21" sqref="A21"/>
      <selection pane="topRight" activeCell="I21" sqref="I21"/>
      <selection pane="bottomLeft" activeCell="A29" sqref="A29"/>
      <selection pane="bottomRight" activeCell="K121" sqref="K121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3" ht="15" customHeight="1" x14ac:dyDescent="0.35">
      <c r="C2" s="272" t="s">
        <v>0</v>
      </c>
      <c r="D2" s="272"/>
      <c r="E2" s="272"/>
      <c r="F2" s="272"/>
      <c r="G2" s="272"/>
      <c r="H2" s="272"/>
      <c r="I2" s="272"/>
    </row>
    <row r="4" spans="3:13" ht="15" customHeight="1" x14ac:dyDescent="0.35">
      <c r="C4" s="280" t="s">
        <v>1</v>
      </c>
      <c r="D4" s="281"/>
      <c r="E4" s="281"/>
      <c r="F4" s="281"/>
      <c r="G4" s="282"/>
      <c r="H4" s="292" t="s">
        <v>172</v>
      </c>
      <c r="I4" s="293"/>
      <c r="J4" s="304"/>
      <c r="K4" s="304"/>
    </row>
    <row r="5" spans="3:13" ht="15" customHeight="1" x14ac:dyDescent="0.35">
      <c r="C5" s="280" t="s">
        <v>2</v>
      </c>
      <c r="D5" s="281"/>
      <c r="E5" s="281"/>
      <c r="F5" s="281"/>
      <c r="G5" s="282"/>
      <c r="H5" s="294" t="s">
        <v>171</v>
      </c>
      <c r="I5" s="295"/>
      <c r="J5" s="306"/>
      <c r="K5" s="307"/>
      <c r="M5" s="36" t="e">
        <f>I5/E5</f>
        <v>#DIV/0!</v>
      </c>
    </row>
    <row r="6" spans="3:13" ht="15" customHeight="1" x14ac:dyDescent="0.35">
      <c r="M6" s="36" t="e">
        <f>I6/E6</f>
        <v>#DIV/0!</v>
      </c>
    </row>
    <row r="7" spans="3:13" ht="15" customHeight="1" x14ac:dyDescent="0.35">
      <c r="C7" s="296" t="s">
        <v>140</v>
      </c>
      <c r="D7" s="296"/>
      <c r="E7" s="296"/>
      <c r="F7" s="296"/>
      <c r="G7" s="296"/>
      <c r="H7" s="296"/>
    </row>
    <row r="9" spans="3:13" ht="15" customHeight="1" x14ac:dyDescent="0.35">
      <c r="C9" s="277" t="s">
        <v>3</v>
      </c>
      <c r="D9" s="277"/>
      <c r="E9" s="277"/>
      <c r="F9" s="277"/>
      <c r="G9" s="277"/>
      <c r="H9" s="277"/>
      <c r="I9" s="277"/>
    </row>
    <row r="10" spans="3:13" ht="15" customHeight="1" x14ac:dyDescent="0.35">
      <c r="C10" s="38" t="s">
        <v>4</v>
      </c>
      <c r="D10" s="267" t="s">
        <v>5</v>
      </c>
      <c r="E10" s="267"/>
      <c r="F10" s="267"/>
      <c r="G10" s="267"/>
      <c r="H10" s="297">
        <v>45887</v>
      </c>
      <c r="I10" s="298"/>
      <c r="J10" s="308"/>
      <c r="K10" s="308"/>
    </row>
    <row r="11" spans="3:13" ht="15" customHeight="1" x14ac:dyDescent="0.35">
      <c r="C11" s="38" t="s">
        <v>6</v>
      </c>
      <c r="D11" s="267" t="s">
        <v>7</v>
      </c>
      <c r="E11" s="267"/>
      <c r="F11" s="267"/>
      <c r="G11" s="267"/>
      <c r="H11" s="286" t="s">
        <v>57</v>
      </c>
      <c r="I11" s="299"/>
      <c r="J11" s="309"/>
      <c r="K11" s="309"/>
    </row>
    <row r="12" spans="3:13" ht="15" customHeight="1" x14ac:dyDescent="0.35">
      <c r="C12" s="38" t="s">
        <v>8</v>
      </c>
      <c r="D12" s="267" t="s">
        <v>9</v>
      </c>
      <c r="E12" s="267"/>
      <c r="F12" s="267"/>
      <c r="G12" s="267"/>
      <c r="H12" s="286">
        <v>2024</v>
      </c>
      <c r="I12" s="299"/>
      <c r="J12" s="309"/>
      <c r="K12" s="309"/>
    </row>
    <row r="13" spans="3:13" ht="15" customHeight="1" x14ac:dyDescent="0.35">
      <c r="C13" s="154" t="s">
        <v>10</v>
      </c>
      <c r="D13" s="267" t="s">
        <v>13</v>
      </c>
      <c r="E13" s="267"/>
      <c r="F13" s="267"/>
      <c r="G13" s="267"/>
      <c r="H13" s="286">
        <v>12</v>
      </c>
      <c r="I13" s="299"/>
      <c r="J13" s="309"/>
      <c r="K13" s="309"/>
    </row>
    <row r="15" spans="3:13" ht="15" customHeight="1" x14ac:dyDescent="0.35">
      <c r="C15" s="277" t="s">
        <v>14</v>
      </c>
      <c r="D15" s="277"/>
      <c r="E15" s="277"/>
      <c r="F15" s="277"/>
      <c r="G15" s="277"/>
      <c r="H15" s="277"/>
      <c r="I15" s="277"/>
    </row>
    <row r="16" spans="3:13" ht="30" customHeight="1" x14ac:dyDescent="0.35">
      <c r="C16" s="268" t="s">
        <v>15</v>
      </c>
      <c r="D16" s="269"/>
      <c r="E16" s="270"/>
      <c r="F16" s="279" t="s">
        <v>38</v>
      </c>
      <c r="G16" s="279"/>
      <c r="H16" s="279" t="s">
        <v>136</v>
      </c>
      <c r="I16" s="268"/>
      <c r="J16" s="310"/>
      <c r="K16" s="310"/>
    </row>
    <row r="17" spans="3:12" ht="29.25" customHeight="1" x14ac:dyDescent="0.35">
      <c r="C17" s="288" t="s">
        <v>145</v>
      </c>
      <c r="D17" s="289"/>
      <c r="E17" s="290"/>
      <c r="F17" s="292" t="s">
        <v>53</v>
      </c>
      <c r="G17" s="292"/>
      <c r="H17" s="292">
        <v>1</v>
      </c>
      <c r="I17" s="293"/>
      <c r="J17" s="304"/>
      <c r="K17" s="304"/>
    </row>
    <row r="19" spans="3:12" ht="15" customHeight="1" x14ac:dyDescent="0.35">
      <c r="C19" s="265" t="s">
        <v>39</v>
      </c>
      <c r="D19" s="265"/>
      <c r="E19" s="265"/>
      <c r="F19" s="265"/>
      <c r="G19" s="265"/>
      <c r="H19" s="265"/>
      <c r="I19" s="265"/>
    </row>
    <row r="20" spans="3:12" ht="15" customHeight="1" x14ac:dyDescent="0.35">
      <c r="C20" s="265" t="s">
        <v>40</v>
      </c>
      <c r="D20" s="265"/>
      <c r="E20" s="265"/>
      <c r="F20" s="265"/>
      <c r="G20" s="265"/>
      <c r="H20" s="265"/>
      <c r="I20" s="265"/>
    </row>
    <row r="21" spans="3:12" ht="15" customHeight="1" x14ac:dyDescent="0.35">
      <c r="C21" s="286" t="s">
        <v>16</v>
      </c>
      <c r="D21" s="286"/>
      <c r="E21" s="286"/>
      <c r="F21" s="286"/>
      <c r="G21" s="286"/>
      <c r="H21" s="286"/>
      <c r="I21" s="286"/>
    </row>
    <row r="22" spans="3:12" ht="15" customHeight="1" x14ac:dyDescent="0.35">
      <c r="C22" s="38">
        <v>1</v>
      </c>
      <c r="D22" s="264" t="s">
        <v>41</v>
      </c>
      <c r="E22" s="264"/>
      <c r="F22" s="264"/>
      <c r="G22" s="264"/>
      <c r="H22" s="286" t="s">
        <v>141</v>
      </c>
      <c r="I22" s="286"/>
      <c r="J22" s="302" t="s">
        <v>141</v>
      </c>
      <c r="K22" s="302"/>
    </row>
    <row r="23" spans="3:12" ht="15" customHeight="1" x14ac:dyDescent="0.35">
      <c r="C23" s="38">
        <v>2</v>
      </c>
      <c r="D23" s="264" t="s">
        <v>65</v>
      </c>
      <c r="E23" s="264"/>
      <c r="F23" s="264"/>
      <c r="G23" s="264"/>
      <c r="H23" s="286" t="s">
        <v>116</v>
      </c>
      <c r="I23" s="286"/>
      <c r="J23" s="302" t="s">
        <v>116</v>
      </c>
      <c r="K23" s="302"/>
    </row>
    <row r="24" spans="3:12" ht="15" customHeight="1" x14ac:dyDescent="0.35">
      <c r="C24" s="38">
        <v>3</v>
      </c>
      <c r="D24" s="264" t="s">
        <v>42</v>
      </c>
      <c r="E24" s="264"/>
      <c r="F24" s="264"/>
      <c r="G24" s="264"/>
      <c r="H24" s="291">
        <v>2723.41</v>
      </c>
      <c r="I24" s="291"/>
      <c r="J24" s="305">
        <f>H24*1.05</f>
        <v>2859.5805</v>
      </c>
      <c r="K24" s="305"/>
    </row>
    <row r="25" spans="3:12" ht="15" customHeight="1" x14ac:dyDescent="0.35">
      <c r="C25" s="38">
        <v>4</v>
      </c>
      <c r="D25" s="264" t="s">
        <v>43</v>
      </c>
      <c r="E25" s="264"/>
      <c r="F25" s="264"/>
      <c r="G25" s="264"/>
      <c r="H25" s="286" t="s">
        <v>144</v>
      </c>
      <c r="I25" s="286"/>
      <c r="J25" s="302" t="s">
        <v>144</v>
      </c>
      <c r="K25" s="302"/>
    </row>
    <row r="26" spans="3:12" ht="15" customHeight="1" x14ac:dyDescent="0.35">
      <c r="C26" s="38">
        <v>5</v>
      </c>
      <c r="D26" s="264" t="s">
        <v>44</v>
      </c>
      <c r="E26" s="264"/>
      <c r="F26" s="264"/>
      <c r="G26" s="264"/>
      <c r="H26" s="286" t="s">
        <v>151</v>
      </c>
      <c r="I26" s="286"/>
      <c r="J26" s="302" t="s">
        <v>151</v>
      </c>
      <c r="K26" s="302"/>
    </row>
    <row r="28" spans="3:12" ht="15" customHeight="1" x14ac:dyDescent="0.35">
      <c r="C28" s="277" t="s">
        <v>17</v>
      </c>
      <c r="D28" s="277"/>
      <c r="E28" s="277"/>
      <c r="F28" s="277"/>
      <c r="G28" s="277"/>
      <c r="H28" s="277"/>
      <c r="I28" s="277"/>
    </row>
    <row r="29" spans="3:12" s="152" customFormat="1" ht="15" customHeight="1" x14ac:dyDescent="0.35">
      <c r="C29" s="153">
        <v>1</v>
      </c>
      <c r="D29" s="278" t="s">
        <v>18</v>
      </c>
      <c r="E29" s="278"/>
      <c r="F29" s="278"/>
      <c r="G29" s="278"/>
      <c r="H29" s="278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6" t="s">
        <v>45</v>
      </c>
      <c r="E30" s="276"/>
      <c r="F30" s="276"/>
      <c r="G30" s="276"/>
      <c r="H30" s="276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6" t="s">
        <v>46</v>
      </c>
      <c r="E31" s="276"/>
      <c r="F31" s="276"/>
      <c r="G31" s="276"/>
      <c r="H31" s="276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6" t="s">
        <v>47</v>
      </c>
      <c r="E32" s="276"/>
      <c r="F32" s="276"/>
      <c r="G32" s="276"/>
      <c r="H32" s="276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6" t="s">
        <v>148</v>
      </c>
      <c r="E33" s="276"/>
      <c r="F33" s="276"/>
      <c r="G33" s="276"/>
      <c r="H33" s="276"/>
      <c r="I33" s="2">
        <f>ROUND((I30+I31)/220*0.2*7*15,2)</f>
        <v>337.95</v>
      </c>
      <c r="K33" s="175">
        <f>ROUND((K30+K31)/220*0.2*7*15,2)</f>
        <v>354.85</v>
      </c>
    </row>
    <row r="34" spans="3:12" ht="15" customHeight="1" x14ac:dyDescent="0.35">
      <c r="C34" s="154" t="s">
        <v>11</v>
      </c>
      <c r="D34" s="276" t="s">
        <v>66</v>
      </c>
      <c r="E34" s="276"/>
      <c r="F34" s="276"/>
      <c r="G34" s="276"/>
      <c r="H34" s="276"/>
      <c r="I34" s="2">
        <f>ROUND((I30+I31)/220*0.2*1*15,2)</f>
        <v>48.28</v>
      </c>
      <c r="K34" s="175">
        <f>ROUND((K30+K31)/220*0.2*1*15,2)</f>
        <v>50.69</v>
      </c>
    </row>
    <row r="35" spans="3:12" ht="15" customHeight="1" x14ac:dyDescent="0.35">
      <c r="C35" s="154" t="s">
        <v>12</v>
      </c>
      <c r="D35" s="276" t="s">
        <v>67</v>
      </c>
      <c r="E35" s="276"/>
      <c r="F35" s="276"/>
      <c r="G35" s="276"/>
      <c r="H35" s="276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6" t="s">
        <v>49</v>
      </c>
      <c r="E36" s="276"/>
      <c r="F36" s="276"/>
      <c r="G36" s="276"/>
      <c r="H36" s="276"/>
      <c r="I36" s="2">
        <v>0</v>
      </c>
      <c r="K36" s="175">
        <v>0</v>
      </c>
    </row>
    <row r="37" spans="3:12" s="152" customFormat="1" ht="15" customHeight="1" x14ac:dyDescent="0.35">
      <c r="C37" s="283" t="s">
        <v>21</v>
      </c>
      <c r="D37" s="284"/>
      <c r="E37" s="284"/>
      <c r="F37" s="284"/>
      <c r="G37" s="284"/>
      <c r="H37" s="285"/>
      <c r="I37" s="6">
        <f>ROUND(SUM(I30:I36),2)</f>
        <v>3926.66</v>
      </c>
      <c r="J37" s="176"/>
      <c r="K37" s="177">
        <f>ROUND(SUM(K30:K36),2)</f>
        <v>4122.99</v>
      </c>
      <c r="L37" s="5"/>
    </row>
    <row r="39" spans="3:12" ht="15" customHeight="1" x14ac:dyDescent="0.35">
      <c r="C39" s="272" t="s">
        <v>68</v>
      </c>
      <c r="D39" s="272"/>
      <c r="E39" s="272"/>
      <c r="F39" s="272"/>
      <c r="G39" s="272"/>
      <c r="H39" s="272"/>
      <c r="I39" s="272"/>
    </row>
    <row r="40" spans="3:12" ht="15" customHeight="1" x14ac:dyDescent="0.35">
      <c r="C40" s="277" t="s">
        <v>69</v>
      </c>
      <c r="D40" s="277"/>
      <c r="E40" s="277"/>
      <c r="F40" s="277"/>
      <c r="G40" s="277"/>
      <c r="H40" s="277"/>
      <c r="I40" s="277"/>
    </row>
    <row r="41" spans="3:12" ht="15" customHeight="1" x14ac:dyDescent="0.35">
      <c r="C41" s="153" t="s">
        <v>70</v>
      </c>
      <c r="D41" s="279" t="s">
        <v>63</v>
      </c>
      <c r="E41" s="279"/>
      <c r="F41" s="279"/>
      <c r="G41" s="279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6" t="s">
        <v>71</v>
      </c>
      <c r="E42" s="276"/>
      <c r="F42" s="276"/>
      <c r="G42" s="276"/>
      <c r="H42" s="7">
        <v>8.3299999999999999E-2</v>
      </c>
      <c r="I42" s="2">
        <f>ROUND(I$37*H42,2)</f>
        <v>327.08999999999997</v>
      </c>
      <c r="J42" s="178">
        <v>8.3299999999999999E-2</v>
      </c>
      <c r="K42" s="175">
        <f>ROUND(K$37*J42,2)</f>
        <v>343.45</v>
      </c>
    </row>
    <row r="43" spans="3:12" ht="15" customHeight="1" x14ac:dyDescent="0.35">
      <c r="C43" s="38" t="s">
        <v>6</v>
      </c>
      <c r="D43" s="276" t="s">
        <v>72</v>
      </c>
      <c r="E43" s="276"/>
      <c r="F43" s="276"/>
      <c r="G43" s="276"/>
      <c r="H43" s="7">
        <v>0.121</v>
      </c>
      <c r="I43" s="2">
        <f>ROUND(I$37*H43,2)</f>
        <v>475.13</v>
      </c>
      <c r="J43" s="178">
        <v>0.121</v>
      </c>
      <c r="K43" s="175">
        <f>ROUND(K$37*J43,2)</f>
        <v>498.88</v>
      </c>
    </row>
    <row r="44" spans="3:12" ht="15" customHeight="1" x14ac:dyDescent="0.35">
      <c r="C44" s="268" t="s">
        <v>73</v>
      </c>
      <c r="D44" s="269"/>
      <c r="E44" s="269"/>
      <c r="F44" s="269"/>
      <c r="G44" s="270"/>
      <c r="H44" s="8">
        <f>SUM(H42:H43)</f>
        <v>0.20429999999999998</v>
      </c>
      <c r="I44" s="9">
        <f>SUM(I42:I43)</f>
        <v>802.22</v>
      </c>
      <c r="J44" s="179">
        <f>SUM(J42:J43)</f>
        <v>0.20429999999999998</v>
      </c>
      <c r="K44" s="180">
        <f>SUM(K42:K43)</f>
        <v>842.32999999999993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72" t="s">
        <v>74</v>
      </c>
      <c r="D46" s="272"/>
      <c r="E46" s="272"/>
      <c r="F46" s="272"/>
      <c r="G46" s="272"/>
      <c r="H46" s="272"/>
      <c r="I46" s="272"/>
    </row>
    <row r="47" spans="3:12" s="152" customFormat="1" ht="15" customHeight="1" x14ac:dyDescent="0.35">
      <c r="C47" s="153" t="s">
        <v>75</v>
      </c>
      <c r="D47" s="279" t="s">
        <v>76</v>
      </c>
      <c r="E47" s="279"/>
      <c r="F47" s="279"/>
      <c r="G47" s="279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6" t="s">
        <v>25</v>
      </c>
      <c r="E48" s="276"/>
      <c r="F48" s="276"/>
      <c r="G48" s="276"/>
      <c r="H48" s="7">
        <v>0.2</v>
      </c>
      <c r="I48" s="2">
        <f t="shared" ref="I48:I55" si="0">ROUND(H48*($I$37+$I$44),2)</f>
        <v>945.78</v>
      </c>
      <c r="J48" s="178">
        <v>0.2</v>
      </c>
      <c r="K48" s="175">
        <f>ROUND(J48*($K$37+$K$44),2)</f>
        <v>993.06</v>
      </c>
    </row>
    <row r="49" spans="3:12" ht="15" customHeight="1" x14ac:dyDescent="0.35">
      <c r="C49" s="38" t="s">
        <v>6</v>
      </c>
      <c r="D49" s="276" t="s">
        <v>27</v>
      </c>
      <c r="E49" s="276"/>
      <c r="F49" s="276"/>
      <c r="G49" s="276"/>
      <c r="H49" s="7">
        <v>2.5000000000000001E-2</v>
      </c>
      <c r="I49" s="2">
        <f t="shared" si="0"/>
        <v>118.22</v>
      </c>
      <c r="J49" s="178">
        <v>2.5000000000000001E-2</v>
      </c>
      <c r="K49" s="175">
        <f t="shared" ref="K49:K55" si="1">ROUND(J49*($K$37+$K$44),2)</f>
        <v>124.13</v>
      </c>
    </row>
    <row r="50" spans="3:12" ht="15" customHeight="1" x14ac:dyDescent="0.35">
      <c r="C50" s="38" t="s">
        <v>8</v>
      </c>
      <c r="D50" s="276" t="s">
        <v>149</v>
      </c>
      <c r="E50" s="276"/>
      <c r="F50" s="276"/>
      <c r="G50" s="276"/>
      <c r="H50" s="7">
        <f>ROUND(3%*1.111,4)</f>
        <v>3.3300000000000003E-2</v>
      </c>
      <c r="I50" s="2">
        <f t="shared" si="0"/>
        <v>157.47</v>
      </c>
      <c r="J50" s="178">
        <f>ROUND(3%*1.111,4)</f>
        <v>3.3300000000000003E-2</v>
      </c>
      <c r="K50" s="175">
        <f t="shared" si="1"/>
        <v>165.35</v>
      </c>
    </row>
    <row r="51" spans="3:12" ht="15" customHeight="1" x14ac:dyDescent="0.35">
      <c r="C51" s="38" t="s">
        <v>10</v>
      </c>
      <c r="D51" s="276" t="s">
        <v>77</v>
      </c>
      <c r="E51" s="276"/>
      <c r="F51" s="276"/>
      <c r="G51" s="276"/>
      <c r="H51" s="7">
        <v>1.4999999999999999E-2</v>
      </c>
      <c r="I51" s="2">
        <f t="shared" si="0"/>
        <v>70.930000000000007</v>
      </c>
      <c r="J51" s="178">
        <v>1.4999999999999999E-2</v>
      </c>
      <c r="K51" s="175">
        <f t="shared" si="1"/>
        <v>74.48</v>
      </c>
    </row>
    <row r="52" spans="3:12" ht="15" customHeight="1" x14ac:dyDescent="0.35">
      <c r="C52" s="38" t="s">
        <v>11</v>
      </c>
      <c r="D52" s="276" t="s">
        <v>78</v>
      </c>
      <c r="E52" s="276"/>
      <c r="F52" s="276"/>
      <c r="G52" s="276"/>
      <c r="H52" s="7">
        <v>0.01</v>
      </c>
      <c r="I52" s="2">
        <f t="shared" si="0"/>
        <v>47.29</v>
      </c>
      <c r="J52" s="178">
        <v>0.01</v>
      </c>
      <c r="K52" s="175">
        <f t="shared" si="1"/>
        <v>49.65</v>
      </c>
    </row>
    <row r="53" spans="3:12" ht="15" customHeight="1" x14ac:dyDescent="0.35">
      <c r="C53" s="38" t="s">
        <v>12</v>
      </c>
      <c r="D53" s="276" t="s">
        <v>31</v>
      </c>
      <c r="E53" s="276"/>
      <c r="F53" s="276"/>
      <c r="G53" s="276"/>
      <c r="H53" s="7">
        <v>6.0000000000000001E-3</v>
      </c>
      <c r="I53" s="2">
        <f t="shared" si="0"/>
        <v>28.37</v>
      </c>
      <c r="J53" s="178">
        <v>6.0000000000000001E-3</v>
      </c>
      <c r="K53" s="175">
        <f t="shared" si="1"/>
        <v>29.79</v>
      </c>
    </row>
    <row r="54" spans="3:12" ht="15" customHeight="1" x14ac:dyDescent="0.35">
      <c r="C54" s="38" t="s">
        <v>29</v>
      </c>
      <c r="D54" s="276" t="s">
        <v>26</v>
      </c>
      <c r="E54" s="276"/>
      <c r="F54" s="276"/>
      <c r="G54" s="276"/>
      <c r="H54" s="7">
        <v>2E-3</v>
      </c>
      <c r="I54" s="2">
        <f t="shared" si="0"/>
        <v>9.4600000000000009</v>
      </c>
      <c r="J54" s="178">
        <v>2E-3</v>
      </c>
      <c r="K54" s="175">
        <f t="shared" si="1"/>
        <v>9.93</v>
      </c>
    </row>
    <row r="55" spans="3:12" ht="15" customHeight="1" x14ac:dyDescent="0.35">
      <c r="C55" s="38" t="s">
        <v>30</v>
      </c>
      <c r="D55" s="276" t="s">
        <v>28</v>
      </c>
      <c r="E55" s="276"/>
      <c r="F55" s="276"/>
      <c r="G55" s="276"/>
      <c r="H55" s="7">
        <v>0.08</v>
      </c>
      <c r="I55" s="2">
        <f t="shared" si="0"/>
        <v>378.31</v>
      </c>
      <c r="J55" s="178">
        <v>0.08</v>
      </c>
      <c r="K55" s="175">
        <f t="shared" si="1"/>
        <v>397.23</v>
      </c>
    </row>
    <row r="56" spans="3:12" ht="15" customHeight="1" x14ac:dyDescent="0.35">
      <c r="C56" s="279" t="s">
        <v>73</v>
      </c>
      <c r="D56" s="279"/>
      <c r="E56" s="279"/>
      <c r="F56" s="279"/>
      <c r="G56" s="279"/>
      <c r="H56" s="10">
        <f>ROUND(SUM(H48:H55),4)</f>
        <v>0.37130000000000002</v>
      </c>
      <c r="I56" s="9">
        <f>ROUND(SUM(I48:I55),4)</f>
        <v>1755.83</v>
      </c>
      <c r="J56" s="181">
        <f>ROUND(SUM(J48:J55),4)</f>
        <v>0.37130000000000002</v>
      </c>
      <c r="K56" s="180">
        <f>ROUND(SUM(K48:K55),4)</f>
        <v>1843.62</v>
      </c>
    </row>
    <row r="58" spans="3:12" ht="15" customHeight="1" x14ac:dyDescent="0.35">
      <c r="C58" s="287" t="s">
        <v>79</v>
      </c>
      <c r="D58" s="287"/>
      <c r="E58" s="287"/>
      <c r="F58" s="287"/>
      <c r="G58" s="287"/>
      <c r="H58" s="287"/>
      <c r="I58" s="287"/>
    </row>
    <row r="59" spans="3:12" ht="15" customHeight="1" x14ac:dyDescent="0.35">
      <c r="C59" s="153" t="s">
        <v>80</v>
      </c>
      <c r="D59" s="278" t="s">
        <v>22</v>
      </c>
      <c r="E59" s="278"/>
      <c r="F59" s="278"/>
      <c r="G59" s="278"/>
      <c r="H59" s="278"/>
      <c r="I59" s="153" t="s">
        <v>20</v>
      </c>
      <c r="K59" s="174" t="s">
        <v>20</v>
      </c>
    </row>
    <row r="60" spans="3:12" ht="15" customHeight="1" x14ac:dyDescent="0.35">
      <c r="C60" s="286" t="s">
        <v>4</v>
      </c>
      <c r="D60" s="264" t="s">
        <v>56</v>
      </c>
      <c r="E60" s="264"/>
      <c r="F60" s="264"/>
      <c r="G60" s="264"/>
      <c r="H60" s="264"/>
      <c r="I60" s="1">
        <f>ROUND(11*15,2)</f>
        <v>165</v>
      </c>
      <c r="K60" s="182">
        <f>ROUND(11*15,2)</f>
        <v>165</v>
      </c>
    </row>
    <row r="61" spans="3:12" ht="15" customHeight="1" x14ac:dyDescent="0.35">
      <c r="C61" s="286"/>
      <c r="D61" s="264" t="s">
        <v>64</v>
      </c>
      <c r="E61" s="264"/>
      <c r="F61" s="264"/>
      <c r="G61" s="264"/>
      <c r="H61" s="264"/>
      <c r="I61" s="1">
        <f>ROUND(IF((I30*-6%)&lt;=(-I60),-I60,(I30*-6%)),2)</f>
        <v>-163.4</v>
      </c>
      <c r="K61" s="182">
        <f>ROUND(IF((K30*-6%)&lt;=(-K60),-K60,(K30*-6%)),2)</f>
        <v>-165</v>
      </c>
    </row>
    <row r="62" spans="3:12" ht="15" customHeight="1" x14ac:dyDescent="0.35">
      <c r="C62" s="38" t="s">
        <v>6</v>
      </c>
      <c r="D62" s="264" t="s">
        <v>220</v>
      </c>
      <c r="E62" s="264"/>
      <c r="F62" s="264"/>
      <c r="G62" s="264"/>
      <c r="H62" s="264"/>
      <c r="I62" s="2">
        <f>46.42*15</f>
        <v>696.30000000000007</v>
      </c>
      <c r="K62" s="175">
        <f>49.63*15</f>
        <v>744.45</v>
      </c>
      <c r="L62" s="3">
        <f>47.37</f>
        <v>47.37</v>
      </c>
    </row>
    <row r="63" spans="3:12" ht="15" customHeight="1" x14ac:dyDescent="0.35">
      <c r="C63" s="38" t="s">
        <v>8</v>
      </c>
      <c r="D63" s="264" t="s">
        <v>117</v>
      </c>
      <c r="E63" s="264"/>
      <c r="F63" s="264"/>
      <c r="G63" s="264"/>
      <c r="H63" s="264"/>
      <c r="I63" s="2">
        <v>0</v>
      </c>
      <c r="K63" s="175">
        <v>0</v>
      </c>
      <c r="L63" s="3">
        <f>L62*2%</f>
        <v>0.94740000000000002</v>
      </c>
    </row>
    <row r="64" spans="3:12" ht="15" customHeight="1" x14ac:dyDescent="0.35">
      <c r="C64" s="38" t="s">
        <v>10</v>
      </c>
      <c r="D64" s="264" t="s">
        <v>104</v>
      </c>
      <c r="E64" s="264"/>
      <c r="F64" s="264"/>
      <c r="G64" s="264"/>
      <c r="H64" s="264"/>
      <c r="I64" s="2">
        <v>22.93</v>
      </c>
      <c r="K64" s="175">
        <v>22.93</v>
      </c>
      <c r="L64" s="3">
        <f>L62-L63</f>
        <v>46.422599999999996</v>
      </c>
    </row>
    <row r="65" spans="3:12" ht="15" customHeight="1" x14ac:dyDescent="0.35">
      <c r="C65" s="38" t="s">
        <v>11</v>
      </c>
      <c r="D65" s="264" t="s">
        <v>118</v>
      </c>
      <c r="E65" s="264"/>
      <c r="F65" s="264"/>
      <c r="G65" s="264"/>
      <c r="H65" s="264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64" t="s">
        <v>322</v>
      </c>
      <c r="E66" s="264"/>
      <c r="F66" s="264"/>
      <c r="G66" s="264"/>
      <c r="H66" s="264"/>
      <c r="I66" s="2">
        <v>0</v>
      </c>
      <c r="K66" s="175">
        <v>25</v>
      </c>
    </row>
    <row r="67" spans="3:12" ht="15" customHeight="1" x14ac:dyDescent="0.35">
      <c r="C67" s="279" t="s">
        <v>73</v>
      </c>
      <c r="D67" s="279"/>
      <c r="E67" s="279"/>
      <c r="F67" s="279"/>
      <c r="G67" s="279"/>
      <c r="H67" s="279"/>
      <c r="I67" s="6">
        <f>ROUND(SUM(I60:I66),2)</f>
        <v>720.83</v>
      </c>
      <c r="K67" s="177">
        <f>ROUND(SUM(K60:K66),2)</f>
        <v>792.38</v>
      </c>
    </row>
    <row r="68" spans="3:12" ht="15" customHeight="1" x14ac:dyDescent="0.35">
      <c r="D68" s="36"/>
    </row>
    <row r="69" spans="3:12" ht="15" customHeight="1" x14ac:dyDescent="0.35">
      <c r="C69" s="277" t="s">
        <v>81</v>
      </c>
      <c r="D69" s="277"/>
      <c r="E69" s="277"/>
      <c r="F69" s="277"/>
      <c r="G69" s="277"/>
      <c r="H69" s="277"/>
      <c r="I69" s="277"/>
    </row>
    <row r="70" spans="3:12" ht="15" customHeight="1" x14ac:dyDescent="0.35">
      <c r="C70" s="153">
        <v>2</v>
      </c>
      <c r="D70" s="279" t="s">
        <v>34</v>
      </c>
      <c r="E70" s="279"/>
      <c r="F70" s="279"/>
      <c r="G70" s="279"/>
      <c r="H70" s="279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6" t="s">
        <v>82</v>
      </c>
      <c r="E71" s="276"/>
      <c r="F71" s="276"/>
      <c r="G71" s="276"/>
      <c r="H71" s="7">
        <f>H44</f>
        <v>0.20429999999999998</v>
      </c>
      <c r="I71" s="11">
        <f>ROUND(I44,2)</f>
        <v>802.22</v>
      </c>
      <c r="J71" s="178">
        <f>J44</f>
        <v>0.20429999999999998</v>
      </c>
      <c r="K71" s="183">
        <f>ROUND(K44,2)</f>
        <v>842.33</v>
      </c>
    </row>
    <row r="72" spans="3:12" ht="15" customHeight="1" x14ac:dyDescent="0.35">
      <c r="C72" s="154" t="s">
        <v>75</v>
      </c>
      <c r="D72" s="276" t="s">
        <v>76</v>
      </c>
      <c r="E72" s="276"/>
      <c r="F72" s="276"/>
      <c r="G72" s="276"/>
      <c r="H72" s="7">
        <f>H56</f>
        <v>0.37130000000000002</v>
      </c>
      <c r="I72" s="11">
        <f>ROUND(I56,2)</f>
        <v>1755.83</v>
      </c>
      <c r="J72" s="178">
        <f>J56</f>
        <v>0.37130000000000002</v>
      </c>
      <c r="K72" s="183">
        <f>ROUND(K56,2)</f>
        <v>1843.62</v>
      </c>
    </row>
    <row r="73" spans="3:12" ht="15" customHeight="1" x14ac:dyDescent="0.35">
      <c r="C73" s="154" t="s">
        <v>80</v>
      </c>
      <c r="D73" s="273" t="s">
        <v>22</v>
      </c>
      <c r="E73" s="274"/>
      <c r="F73" s="274"/>
      <c r="G73" s="274"/>
      <c r="H73" s="275"/>
      <c r="I73" s="11">
        <f>ROUND(I67,2)</f>
        <v>720.83</v>
      </c>
      <c r="K73" s="183">
        <f>ROUND(K67,2)</f>
        <v>792.38</v>
      </c>
    </row>
    <row r="74" spans="3:12" ht="15" customHeight="1" x14ac:dyDescent="0.35">
      <c r="C74" s="279" t="s">
        <v>35</v>
      </c>
      <c r="D74" s="279"/>
      <c r="E74" s="279"/>
      <c r="F74" s="279"/>
      <c r="G74" s="279"/>
      <c r="H74" s="10">
        <f>ROUND(SUM(H71:H73),4)</f>
        <v>0.5756</v>
      </c>
      <c r="I74" s="9">
        <f>ROUND(SUM(I71:I73),2)</f>
        <v>3278.88</v>
      </c>
      <c r="J74" s="181">
        <f>ROUND(SUM(J71:J73),4)</f>
        <v>0.5756</v>
      </c>
      <c r="K74" s="180">
        <f>ROUND(SUM(K71:K73),2)</f>
        <v>3478.33</v>
      </c>
    </row>
    <row r="75" spans="3:12" ht="15" customHeight="1" x14ac:dyDescent="0.35">
      <c r="D75" s="36"/>
    </row>
    <row r="76" spans="3:12" ht="15" customHeight="1" x14ac:dyDescent="0.35">
      <c r="C76" s="277" t="s">
        <v>83</v>
      </c>
      <c r="D76" s="277"/>
      <c r="E76" s="277"/>
      <c r="F76" s="277"/>
      <c r="G76" s="277"/>
      <c r="H76" s="277"/>
      <c r="I76" s="277"/>
    </row>
    <row r="77" spans="3:12" ht="15" customHeight="1" x14ac:dyDescent="0.35">
      <c r="C77" s="153">
        <v>3</v>
      </c>
      <c r="D77" s="279" t="s">
        <v>33</v>
      </c>
      <c r="E77" s="279"/>
      <c r="F77" s="279"/>
      <c r="G77" s="279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6" t="s">
        <v>84</v>
      </c>
      <c r="E78" s="276"/>
      <c r="F78" s="276"/>
      <c r="G78" s="276"/>
      <c r="H78" s="7">
        <v>2.0000000000000001E-4</v>
      </c>
      <c r="I78" s="2">
        <f t="shared" ref="I78:I83" si="2">ROUND(I$37*H78,2)</f>
        <v>0.79</v>
      </c>
      <c r="J78" s="178">
        <v>2.0000000000000001E-4</v>
      </c>
      <c r="K78" s="175">
        <f t="shared" ref="K78:K83" si="3">ROUND(K$37*J78,2)</f>
        <v>0.82</v>
      </c>
    </row>
    <row r="79" spans="3:12" s="12" customFormat="1" ht="15" customHeight="1" x14ac:dyDescent="0.35">
      <c r="C79" s="154" t="s">
        <v>6</v>
      </c>
      <c r="D79" s="276" t="s">
        <v>55</v>
      </c>
      <c r="E79" s="276"/>
      <c r="F79" s="276"/>
      <c r="G79" s="276"/>
      <c r="H79" s="40">
        <f>ROUND(H78*H55,5)</f>
        <v>2.0000000000000002E-5</v>
      </c>
      <c r="I79" s="2">
        <f t="shared" si="2"/>
        <v>0.08</v>
      </c>
      <c r="J79" s="184">
        <f>ROUND(J78*J55,5)</f>
        <v>2.0000000000000002E-5</v>
      </c>
      <c r="K79" s="175">
        <f t="shared" si="3"/>
        <v>0.08</v>
      </c>
      <c r="L79" s="13"/>
    </row>
    <row r="80" spans="3:12" s="12" customFormat="1" ht="15" customHeight="1" x14ac:dyDescent="0.35">
      <c r="C80" s="154" t="s">
        <v>8</v>
      </c>
      <c r="D80" s="276" t="s">
        <v>85</v>
      </c>
      <c r="E80" s="276"/>
      <c r="F80" s="276"/>
      <c r="G80" s="276"/>
      <c r="H80" s="7">
        <v>3.9899999999999998E-2</v>
      </c>
      <c r="I80" s="2">
        <f t="shared" si="2"/>
        <v>156.66999999999999</v>
      </c>
      <c r="J80" s="178">
        <v>3.9899999999999998E-2</v>
      </c>
      <c r="K80" s="175">
        <f t="shared" si="3"/>
        <v>164.51</v>
      </c>
      <c r="L80" s="13"/>
    </row>
    <row r="81" spans="3:12" s="12" customFormat="1" ht="15" customHeight="1" x14ac:dyDescent="0.35">
      <c r="C81" s="154" t="s">
        <v>10</v>
      </c>
      <c r="D81" s="276" t="s">
        <v>86</v>
      </c>
      <c r="E81" s="276"/>
      <c r="F81" s="276"/>
      <c r="G81" s="276"/>
      <c r="H81" s="7">
        <v>2.0000000000000001E-4</v>
      </c>
      <c r="I81" s="2">
        <f t="shared" si="2"/>
        <v>0.79</v>
      </c>
      <c r="J81" s="178">
        <v>2.0000000000000001E-4</v>
      </c>
      <c r="K81" s="175">
        <f t="shared" si="3"/>
        <v>0.82</v>
      </c>
      <c r="L81" s="13"/>
    </row>
    <row r="82" spans="3:12" s="12" customFormat="1" ht="15" customHeight="1" x14ac:dyDescent="0.35">
      <c r="C82" s="154" t="s">
        <v>11</v>
      </c>
      <c r="D82" s="276" t="s">
        <v>87</v>
      </c>
      <c r="E82" s="276"/>
      <c r="F82" s="276"/>
      <c r="G82" s="276"/>
      <c r="H82" s="40">
        <f>ROUND(H81*H56,5)</f>
        <v>6.9999999999999994E-5</v>
      </c>
      <c r="I82" s="2">
        <f t="shared" si="2"/>
        <v>0.27</v>
      </c>
      <c r="J82" s="184">
        <f>ROUND(J81*J56,5)</f>
        <v>6.9999999999999994E-5</v>
      </c>
      <c r="K82" s="175">
        <f t="shared" si="3"/>
        <v>0.28999999999999998</v>
      </c>
      <c r="L82" s="13"/>
    </row>
    <row r="83" spans="3:12" s="12" customFormat="1" ht="15" customHeight="1" x14ac:dyDescent="0.35">
      <c r="C83" s="154" t="s">
        <v>12</v>
      </c>
      <c r="D83" s="276" t="s">
        <v>88</v>
      </c>
      <c r="E83" s="276"/>
      <c r="F83" s="276"/>
      <c r="G83" s="276"/>
      <c r="H83" s="7">
        <v>1E-4</v>
      </c>
      <c r="I83" s="2">
        <f t="shared" si="2"/>
        <v>0.39</v>
      </c>
      <c r="J83" s="178">
        <v>1E-4</v>
      </c>
      <c r="K83" s="175">
        <f t="shared" si="3"/>
        <v>0.41</v>
      </c>
      <c r="L83" s="13"/>
    </row>
    <row r="84" spans="3:12" ht="15" customHeight="1" x14ac:dyDescent="0.35">
      <c r="C84" s="268" t="s">
        <v>73</v>
      </c>
      <c r="D84" s="269"/>
      <c r="E84" s="269"/>
      <c r="F84" s="269"/>
      <c r="G84" s="270"/>
      <c r="H84" s="8">
        <f>ROUND(SUM(H78:H83),4)</f>
        <v>4.0500000000000001E-2</v>
      </c>
      <c r="I84" s="9">
        <f>ROUND(SUM(I78:I83),2)</f>
        <v>158.99</v>
      </c>
      <c r="J84" s="179">
        <f>ROUND(SUM(J78:J83),4)</f>
        <v>4.0500000000000001E-2</v>
      </c>
      <c r="K84" s="180">
        <f>ROUND(SUM(K78:K83),2)</f>
        <v>166.93</v>
      </c>
    </row>
    <row r="86" spans="3:12" ht="15" customHeight="1" x14ac:dyDescent="0.35">
      <c r="C86" s="277" t="s">
        <v>89</v>
      </c>
      <c r="D86" s="277"/>
      <c r="E86" s="277"/>
      <c r="F86" s="277"/>
      <c r="G86" s="277"/>
      <c r="H86" s="277"/>
      <c r="I86" s="277"/>
    </row>
    <row r="87" spans="3:12" ht="15" customHeight="1" x14ac:dyDescent="0.35">
      <c r="C87" s="153" t="s">
        <v>24</v>
      </c>
      <c r="D87" s="279" t="s">
        <v>54</v>
      </c>
      <c r="E87" s="279"/>
      <c r="F87" s="279"/>
      <c r="G87" s="279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6" t="s">
        <v>105</v>
      </c>
      <c r="E88" s="276"/>
      <c r="F88" s="276"/>
      <c r="G88" s="276"/>
      <c r="H88" s="7">
        <v>2.9999999999999997E-4</v>
      </c>
      <c r="I88" s="2">
        <f t="shared" ref="I88:I93" si="4">ROUND(I$37*H88,2)</f>
        <v>1.18</v>
      </c>
      <c r="J88" s="178">
        <v>2.9999999999999997E-4</v>
      </c>
      <c r="K88" s="175">
        <f t="shared" ref="K88:K93" si="5">ROUND(K$37*J88,2)</f>
        <v>1.24</v>
      </c>
    </row>
    <row r="89" spans="3:12" ht="15" customHeight="1" x14ac:dyDescent="0.35">
      <c r="C89" s="38" t="s">
        <v>6</v>
      </c>
      <c r="D89" s="276" t="s">
        <v>106</v>
      </c>
      <c r="E89" s="276"/>
      <c r="F89" s="276"/>
      <c r="G89" s="276"/>
      <c r="H89" s="7">
        <v>2.0000000000000001E-4</v>
      </c>
      <c r="I89" s="2">
        <f t="shared" si="4"/>
        <v>0.79</v>
      </c>
      <c r="J89" s="178">
        <v>2.0000000000000001E-4</v>
      </c>
      <c r="K89" s="175">
        <f t="shared" si="5"/>
        <v>0.82</v>
      </c>
    </row>
    <row r="90" spans="3:12" ht="15" customHeight="1" x14ac:dyDescent="0.35">
      <c r="C90" s="38" t="s">
        <v>8</v>
      </c>
      <c r="D90" s="276" t="s">
        <v>107</v>
      </c>
      <c r="E90" s="276"/>
      <c r="F90" s="276"/>
      <c r="G90" s="276"/>
      <c r="H90" s="7">
        <v>1E-4</v>
      </c>
      <c r="I90" s="2">
        <f t="shared" si="4"/>
        <v>0.39</v>
      </c>
      <c r="J90" s="178">
        <v>1E-4</v>
      </c>
      <c r="K90" s="175">
        <f t="shared" si="5"/>
        <v>0.41</v>
      </c>
    </row>
    <row r="91" spans="3:12" ht="15" customHeight="1" x14ac:dyDescent="0.35">
      <c r="C91" s="38" t="s">
        <v>10</v>
      </c>
      <c r="D91" s="276" t="s">
        <v>108</v>
      </c>
      <c r="E91" s="276"/>
      <c r="F91" s="276"/>
      <c r="G91" s="276"/>
      <c r="H91" s="7">
        <v>2.0000000000000001E-4</v>
      </c>
      <c r="I91" s="2">
        <f t="shared" si="4"/>
        <v>0.79</v>
      </c>
      <c r="J91" s="178">
        <v>2.0000000000000001E-4</v>
      </c>
      <c r="K91" s="175">
        <f t="shared" si="5"/>
        <v>0.82</v>
      </c>
    </row>
    <row r="92" spans="3:12" ht="15" customHeight="1" x14ac:dyDescent="0.35">
      <c r="C92" s="38" t="s">
        <v>11</v>
      </c>
      <c r="D92" s="276" t="s">
        <v>109</v>
      </c>
      <c r="E92" s="276"/>
      <c r="F92" s="276"/>
      <c r="G92" s="276"/>
      <c r="H92" s="7">
        <v>1E-4</v>
      </c>
      <c r="I92" s="2">
        <f t="shared" si="4"/>
        <v>0.39</v>
      </c>
      <c r="J92" s="178">
        <v>1E-4</v>
      </c>
      <c r="K92" s="175">
        <f t="shared" si="5"/>
        <v>0.41</v>
      </c>
    </row>
    <row r="93" spans="3:12" ht="15" customHeight="1" x14ac:dyDescent="0.35">
      <c r="C93" s="38" t="s">
        <v>12</v>
      </c>
      <c r="D93" s="276" t="s">
        <v>150</v>
      </c>
      <c r="E93" s="276"/>
      <c r="F93" s="276"/>
      <c r="G93" s="276"/>
      <c r="H93" s="7">
        <v>1E-4</v>
      </c>
      <c r="I93" s="2">
        <f t="shared" si="4"/>
        <v>0.39</v>
      </c>
      <c r="J93" s="178">
        <v>1E-4</v>
      </c>
      <c r="K93" s="175">
        <f t="shared" si="5"/>
        <v>0.41</v>
      </c>
    </row>
    <row r="94" spans="3:12" ht="15" customHeight="1" x14ac:dyDescent="0.35">
      <c r="C94" s="268" t="s">
        <v>73</v>
      </c>
      <c r="D94" s="269"/>
      <c r="E94" s="269"/>
      <c r="F94" s="269"/>
      <c r="G94" s="270"/>
      <c r="H94" s="8">
        <f>SUM(H88:H93)</f>
        <v>1E-3</v>
      </c>
      <c r="I94" s="9">
        <f>SUM(I88:I93)</f>
        <v>3.93</v>
      </c>
      <c r="J94" s="179">
        <f>SUM(J88:J93)</f>
        <v>1E-3</v>
      </c>
      <c r="K94" s="180">
        <f>SUM(K88:K93)</f>
        <v>4.1100000000000003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72" t="s">
        <v>110</v>
      </c>
      <c r="D96" s="272"/>
      <c r="E96" s="272"/>
      <c r="F96" s="272"/>
      <c r="G96" s="272"/>
      <c r="H96" s="272"/>
      <c r="I96" s="272"/>
    </row>
    <row r="97" spans="3:11" ht="15" customHeight="1" x14ac:dyDescent="0.35">
      <c r="C97" s="153" t="s">
        <v>32</v>
      </c>
      <c r="D97" s="268" t="s">
        <v>111</v>
      </c>
      <c r="E97" s="269"/>
      <c r="F97" s="269"/>
      <c r="G97" s="269"/>
      <c r="H97" s="270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73" t="s">
        <v>112</v>
      </c>
      <c r="E98" s="274"/>
      <c r="F98" s="274"/>
      <c r="G98" s="274"/>
      <c r="H98" s="275"/>
      <c r="I98" s="2">
        <f>ROUND((I30+I31)/220*0.5*15,2)</f>
        <v>120.7</v>
      </c>
      <c r="K98" s="175">
        <f>ROUND((K30+K31)/220*1.5*15,2)</f>
        <v>380.19</v>
      </c>
    </row>
    <row r="99" spans="3:11" ht="15" customHeight="1" x14ac:dyDescent="0.35">
      <c r="C99" s="268" t="s">
        <v>73</v>
      </c>
      <c r="D99" s="269"/>
      <c r="E99" s="269"/>
      <c r="F99" s="269"/>
      <c r="G99" s="269"/>
      <c r="H99" s="270"/>
      <c r="I99" s="9">
        <f>ROUND(SUM(I98:I98),2)</f>
        <v>120.7</v>
      </c>
      <c r="K99" s="180">
        <f>ROUND(SUM(K98:K98),2)</f>
        <v>380.19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72" t="s">
        <v>90</v>
      </c>
      <c r="D101" s="272"/>
      <c r="E101" s="272"/>
      <c r="F101" s="272"/>
      <c r="G101" s="272"/>
      <c r="H101" s="272"/>
      <c r="I101" s="272"/>
      <c r="K101" s="187"/>
    </row>
    <row r="102" spans="3:11" ht="15" customHeight="1" x14ac:dyDescent="0.35">
      <c r="C102" s="153">
        <v>4</v>
      </c>
      <c r="D102" s="268" t="s">
        <v>100</v>
      </c>
      <c r="E102" s="269"/>
      <c r="F102" s="269"/>
      <c r="G102" s="269"/>
      <c r="H102" s="270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73" t="s">
        <v>113</v>
      </c>
      <c r="E103" s="274"/>
      <c r="F103" s="274"/>
      <c r="G103" s="274"/>
      <c r="H103" s="275"/>
      <c r="I103" s="2">
        <f>ROUND(I94,2)</f>
        <v>3.93</v>
      </c>
      <c r="K103" s="175">
        <f>ROUND(K94,2)</f>
        <v>4.1100000000000003</v>
      </c>
    </row>
    <row r="104" spans="3:11" ht="15" customHeight="1" x14ac:dyDescent="0.35">
      <c r="C104" s="17" t="s">
        <v>32</v>
      </c>
      <c r="D104" s="273" t="s">
        <v>111</v>
      </c>
      <c r="E104" s="274"/>
      <c r="F104" s="274"/>
      <c r="G104" s="274"/>
      <c r="H104" s="275"/>
      <c r="I104" s="2">
        <f>ROUND(I99,2)</f>
        <v>120.7</v>
      </c>
      <c r="K104" s="175">
        <f>ROUND(K99,2)</f>
        <v>380.19</v>
      </c>
    </row>
    <row r="105" spans="3:11" ht="15" customHeight="1" x14ac:dyDescent="0.35">
      <c r="C105" s="268" t="s">
        <v>73</v>
      </c>
      <c r="D105" s="269"/>
      <c r="E105" s="269"/>
      <c r="F105" s="269"/>
      <c r="G105" s="269"/>
      <c r="H105" s="270"/>
      <c r="I105" s="9">
        <f>ROUND(SUM(I103:I104),2)</f>
        <v>124.63</v>
      </c>
      <c r="K105" s="180">
        <f>ROUND(SUM(K103:K104),2)</f>
        <v>384.3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7" t="s">
        <v>91</v>
      </c>
      <c r="D107" s="277"/>
      <c r="E107" s="277"/>
      <c r="F107" s="277"/>
      <c r="G107" s="277"/>
      <c r="H107" s="277"/>
      <c r="I107" s="277"/>
      <c r="J107" s="187"/>
    </row>
    <row r="108" spans="3:11" ht="15" customHeight="1" x14ac:dyDescent="0.35">
      <c r="C108" s="153">
        <v>5</v>
      </c>
      <c r="D108" s="278" t="s">
        <v>23</v>
      </c>
      <c r="E108" s="278"/>
      <c r="F108" s="278"/>
      <c r="G108" s="278"/>
      <c r="H108" s="278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64" t="s">
        <v>173</v>
      </c>
      <c r="E109" s="264"/>
      <c r="F109" s="264"/>
      <c r="G109" s="264"/>
      <c r="H109" s="264"/>
      <c r="I109" s="2">
        <f>'unif equip'!G17</f>
        <v>92.16</v>
      </c>
      <c r="J109" s="187"/>
      <c r="K109" s="175">
        <f>'unif equip'!G17</f>
        <v>92.16</v>
      </c>
    </row>
    <row r="110" spans="3:11" ht="15" customHeight="1" x14ac:dyDescent="0.35">
      <c r="C110" s="38" t="s">
        <v>6</v>
      </c>
      <c r="D110" s="276" t="s">
        <v>174</v>
      </c>
      <c r="E110" s="264"/>
      <c r="F110" s="264"/>
      <c r="G110" s="264"/>
      <c r="H110" s="264"/>
      <c r="I110" s="2">
        <f>'unif equip'!H67</f>
        <v>4.8899999999999997</v>
      </c>
      <c r="J110" s="187"/>
      <c r="K110" s="175">
        <f>'unif equip'!H67</f>
        <v>4.8899999999999997</v>
      </c>
    </row>
    <row r="111" spans="3:11" ht="15" customHeight="1" x14ac:dyDescent="0.35">
      <c r="C111" s="38" t="s">
        <v>8</v>
      </c>
      <c r="D111" s="276" t="s">
        <v>175</v>
      </c>
      <c r="E111" s="264"/>
      <c r="F111" s="264"/>
      <c r="G111" s="264"/>
      <c r="H111" s="264"/>
      <c r="I111" s="2">
        <f>'unif equip'!H43</f>
        <v>45.69</v>
      </c>
      <c r="J111" s="187"/>
      <c r="K111" s="175">
        <f>'unif equip'!H43</f>
        <v>45.69</v>
      </c>
    </row>
    <row r="112" spans="3:11" ht="15" customHeight="1" x14ac:dyDescent="0.35">
      <c r="C112" s="38" t="s">
        <v>10</v>
      </c>
      <c r="D112" s="264" t="s">
        <v>176</v>
      </c>
      <c r="E112" s="264"/>
      <c r="F112" s="264"/>
      <c r="G112" s="264"/>
      <c r="H112" s="264"/>
      <c r="I112" s="2">
        <v>0</v>
      </c>
      <c r="J112" s="187"/>
      <c r="K112" s="175">
        <v>0</v>
      </c>
    </row>
    <row r="113" spans="3:11" ht="15" customHeight="1" x14ac:dyDescent="0.35">
      <c r="C113" s="268" t="s">
        <v>73</v>
      </c>
      <c r="D113" s="269"/>
      <c r="E113" s="269"/>
      <c r="F113" s="269"/>
      <c r="G113" s="269"/>
      <c r="H113" s="270"/>
      <c r="I113" s="6">
        <f>ROUND(SUM(I109:I112),2)</f>
        <v>142.74</v>
      </c>
      <c r="J113" s="187"/>
      <c r="K113" s="177">
        <f>ROUND(SUM(K109:K112),2)</f>
        <v>142.74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65" t="s">
        <v>92</v>
      </c>
      <c r="D115" s="265"/>
      <c r="E115" s="265"/>
      <c r="F115" s="265"/>
      <c r="G115" s="265"/>
      <c r="H115" s="265"/>
      <c r="I115" s="265"/>
    </row>
    <row r="116" spans="3:11" ht="15" customHeight="1" x14ac:dyDescent="0.35">
      <c r="C116" s="39">
        <v>6</v>
      </c>
      <c r="D116" s="271" t="s">
        <v>50</v>
      </c>
      <c r="E116" s="271"/>
      <c r="F116" s="271"/>
      <c r="G116" s="271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67" t="s">
        <v>93</v>
      </c>
      <c r="E117" s="267"/>
      <c r="F117" s="267"/>
      <c r="G117" s="267"/>
      <c r="H117" s="19">
        <v>0.01</v>
      </c>
      <c r="I117" s="20">
        <f>ROUND(H117*SUM($I$113,$I$105,$I$84,$I$74,$I$37),2)</f>
        <v>76.319999999999993</v>
      </c>
      <c r="J117" s="190">
        <v>0.01</v>
      </c>
      <c r="K117" s="191">
        <f>ROUND(J117*SUM($K$113,$K$105,$K$84,$K$74,$K$37),2)</f>
        <v>82.95</v>
      </c>
    </row>
    <row r="118" spans="3:11" ht="15" customHeight="1" x14ac:dyDescent="0.35">
      <c r="C118" s="38" t="s">
        <v>6</v>
      </c>
      <c r="D118" s="267" t="s">
        <v>94</v>
      </c>
      <c r="E118" s="267"/>
      <c r="F118" s="267"/>
      <c r="G118" s="267"/>
      <c r="H118" s="19">
        <v>8.0000000000000002E-3</v>
      </c>
      <c r="I118" s="20">
        <f>ROUND(H118*SUM($I$113,$I$105,$I$84,$I$74,$I$37,I117),2)</f>
        <v>61.67</v>
      </c>
      <c r="J118" s="190">
        <v>8.0000000000000002E-3</v>
      </c>
      <c r="K118" s="191">
        <f>ROUND(J118*SUM($K$113,$K$105,$K$84,$K$74,$K$37,K117),2)</f>
        <v>67.03</v>
      </c>
    </row>
    <row r="119" spans="3:11" ht="15" customHeight="1" x14ac:dyDescent="0.35">
      <c r="C119" s="261" t="s">
        <v>8</v>
      </c>
      <c r="D119" s="267" t="s">
        <v>36</v>
      </c>
      <c r="E119" s="267"/>
      <c r="F119" s="267"/>
      <c r="G119" s="267"/>
      <c r="H119" s="19">
        <f>H120+H121+H122</f>
        <v>8.6499999999999994E-2</v>
      </c>
      <c r="I119" s="20">
        <f ca="1">ROUND(SUM(I120,I121,I122),2)</f>
        <v>735.74</v>
      </c>
      <c r="J119" s="190">
        <f>J120+J121+J122</f>
        <v>8.6499999999999994E-2</v>
      </c>
      <c r="K119" s="191">
        <f ca="1">ROUND(SUM(K120,K121,K122),2)</f>
        <v>799.69</v>
      </c>
    </row>
    <row r="120" spans="3:11" ht="15" customHeight="1" x14ac:dyDescent="0.35">
      <c r="C120" s="262"/>
      <c r="D120" s="267" t="s">
        <v>95</v>
      </c>
      <c r="E120" s="267"/>
      <c r="F120" s="267"/>
      <c r="G120" s="267"/>
      <c r="H120" s="19">
        <f>ROUND(3%+0.65%,4)</f>
        <v>3.6499999999999998E-2</v>
      </c>
      <c r="I120" s="20">
        <f ca="1">ROUND(H120*$I$134,2)</f>
        <v>310.45999999999998</v>
      </c>
      <c r="J120" s="190">
        <f>ROUND(3%+0.65%,4)</f>
        <v>3.6499999999999998E-2</v>
      </c>
      <c r="K120" s="191">
        <f ca="1">ROUND(J120*$K$134,2)</f>
        <v>337.44</v>
      </c>
    </row>
    <row r="121" spans="3:11" ht="15" customHeight="1" x14ac:dyDescent="0.35">
      <c r="C121" s="262"/>
      <c r="D121" s="267" t="s">
        <v>96</v>
      </c>
      <c r="E121" s="267"/>
      <c r="F121" s="267"/>
      <c r="G121" s="267"/>
      <c r="H121" s="19">
        <f>ROUND(5%,4)</f>
        <v>0.05</v>
      </c>
      <c r="I121" s="20">
        <f ca="1">ROUND(H121*$I$134,2)</f>
        <v>425.28</v>
      </c>
      <c r="J121" s="190">
        <f>ROUND(5%,4)</f>
        <v>0.05</v>
      </c>
      <c r="K121" s="191">
        <f ca="1">ROUND(J121*$K$134,2)</f>
        <v>462.25</v>
      </c>
    </row>
    <row r="122" spans="3:11" ht="15" customHeight="1" x14ac:dyDescent="0.35">
      <c r="C122" s="263"/>
      <c r="D122" s="267" t="s">
        <v>97</v>
      </c>
      <c r="E122" s="267"/>
      <c r="F122" s="267"/>
      <c r="G122" s="26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58" t="s">
        <v>35</v>
      </c>
      <c r="D123" s="259"/>
      <c r="E123" s="259"/>
      <c r="F123" s="259"/>
      <c r="G123" s="259"/>
      <c r="H123" s="260"/>
      <c r="I123" s="22">
        <f ca="1">ROUND(SUM(I117,I118,I119),2)</f>
        <v>873.73</v>
      </c>
      <c r="K123" s="193">
        <f ca="1">ROUND(SUM(K117,K118,K119),2)</f>
        <v>949.67</v>
      </c>
    </row>
    <row r="125" spans="3:11" ht="15" customHeight="1" x14ac:dyDescent="0.35">
      <c r="C125" s="265" t="s">
        <v>98</v>
      </c>
      <c r="D125" s="265"/>
      <c r="E125" s="265"/>
      <c r="F125" s="265"/>
      <c r="G125" s="265"/>
      <c r="H125" s="265"/>
      <c r="I125" s="265"/>
    </row>
    <row r="126" spans="3:11" ht="15" customHeight="1" x14ac:dyDescent="0.35">
      <c r="C126" s="38"/>
      <c r="D126" s="266" t="s">
        <v>51</v>
      </c>
      <c r="E126" s="266"/>
      <c r="F126" s="266"/>
      <c r="G126" s="266"/>
      <c r="H126" s="266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64" t="s">
        <v>37</v>
      </c>
      <c r="E127" s="264"/>
      <c r="F127" s="264"/>
      <c r="G127" s="264"/>
      <c r="H127" s="264"/>
      <c r="I127" s="23">
        <f>ROUND(I37,2)</f>
        <v>3926.66</v>
      </c>
      <c r="K127" s="194">
        <f>ROUND(K37,2)</f>
        <v>4122.99</v>
      </c>
    </row>
    <row r="128" spans="3:11" ht="15" customHeight="1" x14ac:dyDescent="0.35">
      <c r="C128" s="38" t="s">
        <v>6</v>
      </c>
      <c r="D128" s="264" t="s">
        <v>68</v>
      </c>
      <c r="E128" s="264"/>
      <c r="F128" s="264"/>
      <c r="G128" s="264"/>
      <c r="H128" s="264"/>
      <c r="I128" s="23">
        <f>ROUND(I74,2)</f>
        <v>3278.88</v>
      </c>
      <c r="K128" s="194">
        <f>ROUND(K74,2)</f>
        <v>3478.33</v>
      </c>
    </row>
    <row r="129" spans="3:12" ht="15" customHeight="1" x14ac:dyDescent="0.35">
      <c r="C129" s="38" t="s">
        <v>8</v>
      </c>
      <c r="D129" s="264" t="s">
        <v>83</v>
      </c>
      <c r="E129" s="264"/>
      <c r="F129" s="264"/>
      <c r="G129" s="264"/>
      <c r="H129" s="264"/>
      <c r="I129" s="23">
        <f>ROUND(I84,2)</f>
        <v>158.99</v>
      </c>
      <c r="K129" s="194">
        <f>ROUND(K84,2)</f>
        <v>166.93</v>
      </c>
    </row>
    <row r="130" spans="3:12" ht="15" customHeight="1" x14ac:dyDescent="0.35">
      <c r="C130" s="38" t="s">
        <v>10</v>
      </c>
      <c r="D130" s="264" t="s">
        <v>89</v>
      </c>
      <c r="E130" s="264"/>
      <c r="F130" s="264"/>
      <c r="G130" s="264"/>
      <c r="H130" s="264"/>
      <c r="I130" s="23">
        <f>ROUND(I105,2)</f>
        <v>124.63</v>
      </c>
      <c r="K130" s="194">
        <f>ROUND(K105,2)</f>
        <v>384.3</v>
      </c>
    </row>
    <row r="131" spans="3:12" ht="15" customHeight="1" x14ac:dyDescent="0.35">
      <c r="C131" s="38" t="s">
        <v>11</v>
      </c>
      <c r="D131" s="264" t="s">
        <v>91</v>
      </c>
      <c r="E131" s="264"/>
      <c r="F131" s="264"/>
      <c r="G131" s="264"/>
      <c r="H131" s="264"/>
      <c r="I131" s="23">
        <f>ROUND(I113,2)</f>
        <v>142.74</v>
      </c>
      <c r="K131" s="194">
        <f>ROUND(K113,2)</f>
        <v>142.74</v>
      </c>
    </row>
    <row r="132" spans="3:12" ht="15" customHeight="1" x14ac:dyDescent="0.35">
      <c r="C132" s="258" t="s">
        <v>223</v>
      </c>
      <c r="D132" s="259"/>
      <c r="E132" s="259"/>
      <c r="F132" s="259"/>
      <c r="G132" s="259"/>
      <c r="H132" s="260"/>
      <c r="I132" s="24">
        <f>ROUND(SUM(I127:I131),2)</f>
        <v>7631.9</v>
      </c>
      <c r="J132" s="187"/>
      <c r="K132" s="195">
        <f>ROUND(SUM(K127:K131),2)</f>
        <v>8295.2900000000009</v>
      </c>
    </row>
    <row r="133" spans="3:12" ht="15" customHeight="1" x14ac:dyDescent="0.35">
      <c r="C133" s="38" t="s">
        <v>12</v>
      </c>
      <c r="D133" s="264" t="s">
        <v>99</v>
      </c>
      <c r="E133" s="264"/>
      <c r="F133" s="264"/>
      <c r="G133" s="264"/>
      <c r="H133" s="264"/>
      <c r="I133" s="23">
        <f ca="1">ROUND(I123,2)</f>
        <v>873.73</v>
      </c>
      <c r="J133" s="187"/>
      <c r="K133" s="194">
        <f ca="1">ROUND(K123,2)</f>
        <v>949.67</v>
      </c>
    </row>
    <row r="134" spans="3:12" ht="15" customHeight="1" x14ac:dyDescent="0.35">
      <c r="C134" s="258" t="s">
        <v>52</v>
      </c>
      <c r="D134" s="259"/>
      <c r="E134" s="259"/>
      <c r="F134" s="259"/>
      <c r="G134" s="259"/>
      <c r="H134" s="260"/>
      <c r="I134" s="24">
        <f ca="1">ROUND(SUM(I132:I133),2)</f>
        <v>8505.6299999999992</v>
      </c>
      <c r="K134" s="195">
        <f ca="1">ROUND(SUM(K132:K133),2)</f>
        <v>9244.9599999999991</v>
      </c>
      <c r="L134" s="25"/>
    </row>
    <row r="135" spans="3:12" ht="15" customHeight="1" x14ac:dyDescent="0.35">
      <c r="C135" s="258" t="s">
        <v>119</v>
      </c>
      <c r="D135" s="259"/>
      <c r="E135" s="259"/>
      <c r="F135" s="259"/>
      <c r="G135" s="259"/>
      <c r="H135" s="260"/>
      <c r="I135" s="24">
        <f ca="1">ROUND(2*I134,2)</f>
        <v>17011.259999999998</v>
      </c>
      <c r="K135" s="195">
        <f ca="1">ROUND(2*K134,2)</f>
        <v>18489.919999999998</v>
      </c>
    </row>
    <row r="136" spans="3:12" ht="15" customHeight="1" x14ac:dyDescent="0.35">
      <c r="C136"/>
      <c r="D136"/>
      <c r="E136"/>
      <c r="F136"/>
      <c r="G136"/>
      <c r="H136"/>
      <c r="I136"/>
      <c r="J136" s="205"/>
      <c r="K136" s="206"/>
    </row>
    <row r="137" spans="3:12" ht="15" customHeight="1" x14ac:dyDescent="0.35">
      <c r="C137"/>
      <c r="D137"/>
      <c r="E137"/>
      <c r="F137"/>
      <c r="G137"/>
      <c r="H137"/>
      <c r="I137"/>
      <c r="J137" s="205"/>
      <c r="K137" s="206"/>
    </row>
    <row r="138" spans="3:12" ht="15" customHeight="1" x14ac:dyDescent="0.35">
      <c r="C138"/>
      <c r="D138"/>
      <c r="E138"/>
      <c r="F138"/>
      <c r="G138"/>
      <c r="H138"/>
      <c r="I138"/>
      <c r="J138" s="196"/>
      <c r="K138" s="196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  <mergeCell ref="D130:H130"/>
    <mergeCell ref="D131:H131"/>
    <mergeCell ref="C132:H132"/>
    <mergeCell ref="D133:H133"/>
    <mergeCell ref="C134:H134"/>
    <mergeCell ref="C135:H135"/>
    <mergeCell ref="C123:H123"/>
    <mergeCell ref="C125:I125"/>
    <mergeCell ref="D126:H126"/>
    <mergeCell ref="D127:H127"/>
    <mergeCell ref="D128:H128"/>
    <mergeCell ref="D129:H129"/>
    <mergeCell ref="D117:G117"/>
    <mergeCell ref="D118:G118"/>
    <mergeCell ref="C119:C122"/>
    <mergeCell ref="D119:G119"/>
    <mergeCell ref="D120:G120"/>
    <mergeCell ref="D121:G121"/>
    <mergeCell ref="D122:G122"/>
    <mergeCell ref="D110:H110"/>
    <mergeCell ref="D111:H111"/>
    <mergeCell ref="D112:H112"/>
    <mergeCell ref="C113:H113"/>
    <mergeCell ref="C115:I115"/>
    <mergeCell ref="D116:G116"/>
    <mergeCell ref="D103:H103"/>
    <mergeCell ref="D104:H104"/>
    <mergeCell ref="C105:H105"/>
    <mergeCell ref="C107:I107"/>
    <mergeCell ref="D108:H108"/>
    <mergeCell ref="D109:H109"/>
    <mergeCell ref="C96:I96"/>
    <mergeCell ref="D97:H97"/>
    <mergeCell ref="D98:H98"/>
    <mergeCell ref="C99:H99"/>
    <mergeCell ref="C101:I101"/>
    <mergeCell ref="D102:H102"/>
    <mergeCell ref="D89:G89"/>
    <mergeCell ref="D90:G90"/>
    <mergeCell ref="D91:G91"/>
    <mergeCell ref="D92:G92"/>
    <mergeCell ref="D93:G93"/>
    <mergeCell ref="C94:G94"/>
    <mergeCell ref="D82:G82"/>
    <mergeCell ref="D83:G83"/>
    <mergeCell ref="C84:G84"/>
    <mergeCell ref="C86:I86"/>
    <mergeCell ref="D87:G87"/>
    <mergeCell ref="D88:G88"/>
    <mergeCell ref="C76:I76"/>
    <mergeCell ref="D77:G77"/>
    <mergeCell ref="D78:G78"/>
    <mergeCell ref="D79:G79"/>
    <mergeCell ref="D80:G80"/>
    <mergeCell ref="D81:G81"/>
    <mergeCell ref="C69:I69"/>
    <mergeCell ref="D70:H70"/>
    <mergeCell ref="D71:G71"/>
    <mergeCell ref="D72:G72"/>
    <mergeCell ref="D73:H73"/>
    <mergeCell ref="C74:G74"/>
    <mergeCell ref="D62:H62"/>
    <mergeCell ref="D63:H63"/>
    <mergeCell ref="D64:H64"/>
    <mergeCell ref="D65:H65"/>
    <mergeCell ref="D66:H66"/>
    <mergeCell ref="C67:H67"/>
    <mergeCell ref="C56:G56"/>
    <mergeCell ref="C58:I58"/>
    <mergeCell ref="D59:H59"/>
    <mergeCell ref="C60:C61"/>
    <mergeCell ref="D60:H60"/>
    <mergeCell ref="D61:H61"/>
    <mergeCell ref="D50:G50"/>
    <mergeCell ref="D51:G51"/>
    <mergeCell ref="D52:G52"/>
    <mergeCell ref="D53:G53"/>
    <mergeCell ref="D54:G54"/>
    <mergeCell ref="D55:G55"/>
    <mergeCell ref="D43:G43"/>
    <mergeCell ref="C44:G44"/>
    <mergeCell ref="C46:I46"/>
    <mergeCell ref="D47:G47"/>
    <mergeCell ref="D48:G48"/>
    <mergeCell ref="D49:G49"/>
    <mergeCell ref="D36:H36"/>
    <mergeCell ref="C37:H37"/>
    <mergeCell ref="C39:I39"/>
    <mergeCell ref="C40:I40"/>
    <mergeCell ref="D41:G41"/>
    <mergeCell ref="D42:G42"/>
    <mergeCell ref="D30:H30"/>
    <mergeCell ref="D31:H31"/>
    <mergeCell ref="D32:H32"/>
    <mergeCell ref="D33:H33"/>
    <mergeCell ref="D34:H34"/>
    <mergeCell ref="D35:H35"/>
    <mergeCell ref="D25:G25"/>
    <mergeCell ref="H25:I25"/>
    <mergeCell ref="D26:G26"/>
    <mergeCell ref="H26:I26"/>
    <mergeCell ref="C28:I28"/>
    <mergeCell ref="D29:H29"/>
    <mergeCell ref="D22:G22"/>
    <mergeCell ref="H22:I22"/>
    <mergeCell ref="D23:G23"/>
    <mergeCell ref="H23:I23"/>
    <mergeCell ref="D24:G24"/>
    <mergeCell ref="H24:I24"/>
    <mergeCell ref="C17:E17"/>
    <mergeCell ref="F17:G17"/>
    <mergeCell ref="H17:I17"/>
    <mergeCell ref="C19:I19"/>
    <mergeCell ref="C20:I20"/>
    <mergeCell ref="C21:I21"/>
    <mergeCell ref="D13:G13"/>
    <mergeCell ref="H13:I13"/>
    <mergeCell ref="C15:I15"/>
    <mergeCell ref="C16:E16"/>
    <mergeCell ref="F16:G16"/>
    <mergeCell ref="H16:I16"/>
    <mergeCell ref="C9:I9"/>
    <mergeCell ref="D10:G10"/>
    <mergeCell ref="H10:I10"/>
    <mergeCell ref="D11:G11"/>
    <mergeCell ref="H11:I11"/>
    <mergeCell ref="D12:G12"/>
    <mergeCell ref="H12:I12"/>
    <mergeCell ref="C2:I2"/>
    <mergeCell ref="C4:G4"/>
    <mergeCell ref="H4:I4"/>
    <mergeCell ref="C5:G5"/>
    <mergeCell ref="H5:I5"/>
    <mergeCell ref="C7:H7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287AF-6F71-4FE8-B13E-7751F14BF375}">
  <dimension ref="C2:M179"/>
  <sheetViews>
    <sheetView showGridLines="0" topLeftCell="A21" zoomScale="70" zoomScaleNormal="70" zoomScaleSheetLayoutView="100" workbookViewId="0">
      <pane xSplit="8" ySplit="8" topLeftCell="I112" activePane="bottomRight" state="frozen"/>
      <selection activeCell="A21" sqref="A21"/>
      <selection pane="topRight" activeCell="I21" sqref="I21"/>
      <selection pane="bottomLeft" activeCell="A29" sqref="A29"/>
      <selection pane="bottomRight" activeCell="K121" sqref="K121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3" ht="15" customHeight="1" x14ac:dyDescent="0.35">
      <c r="C2" s="272" t="s">
        <v>0</v>
      </c>
      <c r="D2" s="272"/>
      <c r="E2" s="272"/>
      <c r="F2" s="272"/>
      <c r="G2" s="272"/>
      <c r="H2" s="272"/>
      <c r="I2" s="272"/>
    </row>
    <row r="4" spans="3:13" ht="15" customHeight="1" x14ac:dyDescent="0.35">
      <c r="C4" s="280" t="s">
        <v>1</v>
      </c>
      <c r="D4" s="281"/>
      <c r="E4" s="281"/>
      <c r="F4" s="281"/>
      <c r="G4" s="282"/>
      <c r="H4" s="292" t="s">
        <v>172</v>
      </c>
      <c r="I4" s="293"/>
      <c r="J4" s="304"/>
      <c r="K4" s="304"/>
    </row>
    <row r="5" spans="3:13" ht="15" customHeight="1" x14ac:dyDescent="0.35">
      <c r="C5" s="280" t="s">
        <v>2</v>
      </c>
      <c r="D5" s="281"/>
      <c r="E5" s="281"/>
      <c r="F5" s="281"/>
      <c r="G5" s="282"/>
      <c r="H5" s="294" t="s">
        <v>171</v>
      </c>
      <c r="I5" s="295"/>
      <c r="J5" s="306"/>
      <c r="K5" s="307"/>
      <c r="M5" s="36" t="e">
        <f>I5/E5</f>
        <v>#DIV/0!</v>
      </c>
    </row>
    <row r="6" spans="3:13" ht="15" customHeight="1" x14ac:dyDescent="0.35">
      <c r="M6" s="36" t="e">
        <f>I6/E6</f>
        <v>#DIV/0!</v>
      </c>
    </row>
    <row r="7" spans="3:13" ht="15" customHeight="1" x14ac:dyDescent="0.35">
      <c r="C7" s="296" t="s">
        <v>140</v>
      </c>
      <c r="D7" s="296"/>
      <c r="E7" s="296"/>
      <c r="F7" s="296"/>
      <c r="G7" s="296"/>
      <c r="H7" s="296"/>
    </row>
    <row r="9" spans="3:13" ht="15" customHeight="1" x14ac:dyDescent="0.35">
      <c r="C9" s="277" t="s">
        <v>3</v>
      </c>
      <c r="D9" s="277"/>
      <c r="E9" s="277"/>
      <c r="F9" s="277"/>
      <c r="G9" s="277"/>
      <c r="H9" s="277"/>
      <c r="I9" s="277"/>
    </row>
    <row r="10" spans="3:13" ht="15" customHeight="1" x14ac:dyDescent="0.35">
      <c r="C10" s="38" t="s">
        <v>4</v>
      </c>
      <c r="D10" s="267" t="s">
        <v>5</v>
      </c>
      <c r="E10" s="267"/>
      <c r="F10" s="267"/>
      <c r="G10" s="267"/>
      <c r="H10" s="297">
        <v>45887</v>
      </c>
      <c r="I10" s="298"/>
      <c r="J10" s="308"/>
      <c r="K10" s="308"/>
    </row>
    <row r="11" spans="3:13" ht="15" customHeight="1" x14ac:dyDescent="0.35">
      <c r="C11" s="38" t="s">
        <v>6</v>
      </c>
      <c r="D11" s="267" t="s">
        <v>7</v>
      </c>
      <c r="E11" s="267"/>
      <c r="F11" s="267"/>
      <c r="G11" s="267"/>
      <c r="H11" s="286" t="s">
        <v>57</v>
      </c>
      <c r="I11" s="299"/>
      <c r="J11" s="309"/>
      <c r="K11" s="309"/>
    </row>
    <row r="12" spans="3:13" ht="15" customHeight="1" x14ac:dyDescent="0.35">
      <c r="C12" s="38" t="s">
        <v>8</v>
      </c>
      <c r="D12" s="267" t="s">
        <v>9</v>
      </c>
      <c r="E12" s="267"/>
      <c r="F12" s="267"/>
      <c r="G12" s="267"/>
      <c r="H12" s="286">
        <v>2024</v>
      </c>
      <c r="I12" s="299"/>
      <c r="J12" s="309"/>
      <c r="K12" s="309"/>
    </row>
    <row r="13" spans="3:13" ht="15" customHeight="1" x14ac:dyDescent="0.35">
      <c r="C13" s="154" t="s">
        <v>10</v>
      </c>
      <c r="D13" s="267" t="s">
        <v>13</v>
      </c>
      <c r="E13" s="267"/>
      <c r="F13" s="267"/>
      <c r="G13" s="267"/>
      <c r="H13" s="286">
        <v>12</v>
      </c>
      <c r="I13" s="299"/>
      <c r="J13" s="309"/>
      <c r="K13" s="309"/>
    </row>
    <row r="15" spans="3:13" ht="15" customHeight="1" x14ac:dyDescent="0.35">
      <c r="C15" s="277" t="s">
        <v>14</v>
      </c>
      <c r="D15" s="277"/>
      <c r="E15" s="277"/>
      <c r="F15" s="277"/>
      <c r="G15" s="277"/>
      <c r="H15" s="277"/>
      <c r="I15" s="277"/>
    </row>
    <row r="16" spans="3:13" ht="30" customHeight="1" x14ac:dyDescent="0.35">
      <c r="C16" s="268" t="s">
        <v>15</v>
      </c>
      <c r="D16" s="269"/>
      <c r="E16" s="270"/>
      <c r="F16" s="279" t="s">
        <v>38</v>
      </c>
      <c r="G16" s="279"/>
      <c r="H16" s="279" t="s">
        <v>136</v>
      </c>
      <c r="I16" s="268"/>
      <c r="J16" s="310"/>
      <c r="K16" s="310"/>
    </row>
    <row r="17" spans="3:12" ht="29.25" customHeight="1" x14ac:dyDescent="0.35">
      <c r="C17" s="288" t="s">
        <v>146</v>
      </c>
      <c r="D17" s="289"/>
      <c r="E17" s="290"/>
      <c r="F17" s="292" t="s">
        <v>53</v>
      </c>
      <c r="G17" s="292"/>
      <c r="H17" s="292">
        <v>2</v>
      </c>
      <c r="I17" s="293"/>
      <c r="J17" s="304"/>
      <c r="K17" s="304"/>
    </row>
    <row r="19" spans="3:12" ht="15" customHeight="1" x14ac:dyDescent="0.35">
      <c r="C19" s="265" t="s">
        <v>39</v>
      </c>
      <c r="D19" s="265"/>
      <c r="E19" s="265"/>
      <c r="F19" s="265"/>
      <c r="G19" s="265"/>
      <c r="H19" s="265"/>
      <c r="I19" s="265"/>
    </row>
    <row r="20" spans="3:12" ht="15" customHeight="1" x14ac:dyDescent="0.35">
      <c r="C20" s="265" t="s">
        <v>40</v>
      </c>
      <c r="D20" s="265"/>
      <c r="E20" s="265"/>
      <c r="F20" s="265"/>
      <c r="G20" s="265"/>
      <c r="H20" s="265"/>
      <c r="I20" s="265"/>
    </row>
    <row r="21" spans="3:12" ht="15" customHeight="1" x14ac:dyDescent="0.35">
      <c r="C21" s="286" t="s">
        <v>16</v>
      </c>
      <c r="D21" s="286"/>
      <c r="E21" s="286"/>
      <c r="F21" s="286"/>
      <c r="G21" s="286"/>
      <c r="H21" s="286"/>
      <c r="I21" s="286"/>
    </row>
    <row r="22" spans="3:12" ht="15" customHeight="1" x14ac:dyDescent="0.35">
      <c r="C22" s="38">
        <v>1</v>
      </c>
      <c r="D22" s="264" t="s">
        <v>41</v>
      </c>
      <c r="E22" s="264"/>
      <c r="F22" s="264"/>
      <c r="G22" s="264"/>
      <c r="H22" s="286" t="s">
        <v>147</v>
      </c>
      <c r="I22" s="286"/>
      <c r="J22" s="302" t="s">
        <v>147</v>
      </c>
      <c r="K22" s="302"/>
    </row>
    <row r="23" spans="3:12" ht="15" customHeight="1" x14ac:dyDescent="0.35">
      <c r="C23" s="38">
        <v>2</v>
      </c>
      <c r="D23" s="264" t="s">
        <v>65</v>
      </c>
      <c r="E23" s="264"/>
      <c r="F23" s="264"/>
      <c r="G23" s="264"/>
      <c r="H23" s="286" t="s">
        <v>116</v>
      </c>
      <c r="I23" s="286"/>
      <c r="J23" s="302" t="s">
        <v>116</v>
      </c>
      <c r="K23" s="302"/>
    </row>
    <row r="24" spans="3:12" ht="15" customHeight="1" x14ac:dyDescent="0.35">
      <c r="C24" s="38">
        <v>3</v>
      </c>
      <c r="D24" s="264" t="s">
        <v>42</v>
      </c>
      <c r="E24" s="264"/>
      <c r="F24" s="264"/>
      <c r="G24" s="264"/>
      <c r="H24" s="291">
        <v>2723.41</v>
      </c>
      <c r="I24" s="291"/>
      <c r="J24" s="305">
        <f>H24*1.05</f>
        <v>2859.5805</v>
      </c>
      <c r="K24" s="305"/>
    </row>
    <row r="25" spans="3:12" ht="15" customHeight="1" x14ac:dyDescent="0.35">
      <c r="C25" s="38">
        <v>4</v>
      </c>
      <c r="D25" s="264" t="s">
        <v>43</v>
      </c>
      <c r="E25" s="264"/>
      <c r="F25" s="264"/>
      <c r="G25" s="264"/>
      <c r="H25" s="286" t="s">
        <v>144</v>
      </c>
      <c r="I25" s="286"/>
      <c r="J25" s="302" t="s">
        <v>144</v>
      </c>
      <c r="K25" s="302"/>
    </row>
    <row r="26" spans="3:12" ht="15" customHeight="1" x14ac:dyDescent="0.35">
      <c r="C26" s="38">
        <v>5</v>
      </c>
      <c r="D26" s="264" t="s">
        <v>44</v>
      </c>
      <c r="E26" s="264"/>
      <c r="F26" s="264"/>
      <c r="G26" s="264"/>
      <c r="H26" s="286" t="s">
        <v>151</v>
      </c>
      <c r="I26" s="286"/>
      <c r="J26" s="302" t="s">
        <v>151</v>
      </c>
      <c r="K26" s="302"/>
    </row>
    <row r="28" spans="3:12" ht="15" customHeight="1" x14ac:dyDescent="0.35">
      <c r="C28" s="277" t="s">
        <v>17</v>
      </c>
      <c r="D28" s="277"/>
      <c r="E28" s="277"/>
      <c r="F28" s="277"/>
      <c r="G28" s="277"/>
      <c r="H28" s="277"/>
      <c r="I28" s="277"/>
    </row>
    <row r="29" spans="3:12" s="152" customFormat="1" ht="15" customHeight="1" x14ac:dyDescent="0.35">
      <c r="C29" s="153">
        <v>1</v>
      </c>
      <c r="D29" s="278" t="s">
        <v>18</v>
      </c>
      <c r="E29" s="278"/>
      <c r="F29" s="278"/>
      <c r="G29" s="278"/>
      <c r="H29" s="278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6" t="s">
        <v>45</v>
      </c>
      <c r="E30" s="276"/>
      <c r="F30" s="276"/>
      <c r="G30" s="276"/>
      <c r="H30" s="276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6" t="s">
        <v>46</v>
      </c>
      <c r="E31" s="276"/>
      <c r="F31" s="276"/>
      <c r="G31" s="276"/>
      <c r="H31" s="276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6" t="s">
        <v>47</v>
      </c>
      <c r="E32" s="276"/>
      <c r="F32" s="276"/>
      <c r="G32" s="276"/>
      <c r="H32" s="276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6" t="s">
        <v>48</v>
      </c>
      <c r="E33" s="276"/>
      <c r="F33" s="276"/>
      <c r="G33" s="276"/>
      <c r="H33" s="276"/>
      <c r="I33" s="2">
        <v>0</v>
      </c>
      <c r="K33" s="175">
        <v>0</v>
      </c>
    </row>
    <row r="34" spans="3:12" ht="15" customHeight="1" x14ac:dyDescent="0.35">
      <c r="C34" s="154" t="s">
        <v>11</v>
      </c>
      <c r="D34" s="276" t="s">
        <v>66</v>
      </c>
      <c r="E34" s="276"/>
      <c r="F34" s="276"/>
      <c r="G34" s="276"/>
      <c r="H34" s="276"/>
      <c r="I34" s="2">
        <v>0</v>
      </c>
      <c r="K34" s="175">
        <v>0</v>
      </c>
    </row>
    <row r="35" spans="3:12" ht="15" customHeight="1" x14ac:dyDescent="0.35">
      <c r="C35" s="154" t="s">
        <v>12</v>
      </c>
      <c r="D35" s="276" t="s">
        <v>67</v>
      </c>
      <c r="E35" s="276"/>
      <c r="F35" s="276"/>
      <c r="G35" s="276"/>
      <c r="H35" s="276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6" t="s">
        <v>49</v>
      </c>
      <c r="E36" s="276"/>
      <c r="F36" s="276"/>
      <c r="G36" s="276"/>
      <c r="H36" s="276"/>
      <c r="I36" s="2">
        <v>0</v>
      </c>
      <c r="K36" s="175">
        <v>0</v>
      </c>
    </row>
    <row r="37" spans="3:12" s="152" customFormat="1" ht="15" customHeight="1" x14ac:dyDescent="0.35">
      <c r="C37" s="283" t="s">
        <v>21</v>
      </c>
      <c r="D37" s="284"/>
      <c r="E37" s="284"/>
      <c r="F37" s="284"/>
      <c r="G37" s="284"/>
      <c r="H37" s="285"/>
      <c r="I37" s="6">
        <f>ROUND(SUM(I30:I36),2)</f>
        <v>3540.43</v>
      </c>
      <c r="J37" s="176"/>
      <c r="K37" s="177">
        <f>ROUND(SUM(K30:K36),2)</f>
        <v>3717.45</v>
      </c>
      <c r="L37" s="5"/>
    </row>
    <row r="39" spans="3:12" ht="15" customHeight="1" x14ac:dyDescent="0.35">
      <c r="C39" s="272" t="s">
        <v>68</v>
      </c>
      <c r="D39" s="272"/>
      <c r="E39" s="272"/>
      <c r="F39" s="272"/>
      <c r="G39" s="272"/>
      <c r="H39" s="272"/>
      <c r="I39" s="272"/>
    </row>
    <row r="40" spans="3:12" ht="15" customHeight="1" x14ac:dyDescent="0.35">
      <c r="C40" s="277" t="s">
        <v>69</v>
      </c>
      <c r="D40" s="277"/>
      <c r="E40" s="277"/>
      <c r="F40" s="277"/>
      <c r="G40" s="277"/>
      <c r="H40" s="277"/>
      <c r="I40" s="277"/>
    </row>
    <row r="41" spans="3:12" ht="15" customHeight="1" x14ac:dyDescent="0.35">
      <c r="C41" s="153" t="s">
        <v>70</v>
      </c>
      <c r="D41" s="279" t="s">
        <v>63</v>
      </c>
      <c r="E41" s="279"/>
      <c r="F41" s="279"/>
      <c r="G41" s="279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6" t="s">
        <v>71</v>
      </c>
      <c r="E42" s="276"/>
      <c r="F42" s="276"/>
      <c r="G42" s="276"/>
      <c r="H42" s="7">
        <v>8.3299999999999999E-2</v>
      </c>
      <c r="I42" s="2">
        <f>ROUND(I$37*H42,2)</f>
        <v>294.92</v>
      </c>
      <c r="J42" s="178">
        <v>8.3299999999999999E-2</v>
      </c>
      <c r="K42" s="175">
        <f>ROUND(K$37*J42,2)</f>
        <v>309.66000000000003</v>
      </c>
    </row>
    <row r="43" spans="3:12" ht="15" customHeight="1" x14ac:dyDescent="0.35">
      <c r="C43" s="38" t="s">
        <v>6</v>
      </c>
      <c r="D43" s="276" t="s">
        <v>72</v>
      </c>
      <c r="E43" s="276"/>
      <c r="F43" s="276"/>
      <c r="G43" s="276"/>
      <c r="H43" s="7">
        <v>0.121</v>
      </c>
      <c r="I43" s="2">
        <f>ROUND(I$37*H43,2)</f>
        <v>428.39</v>
      </c>
      <c r="J43" s="178">
        <v>0.121</v>
      </c>
      <c r="K43" s="175">
        <f>ROUND(K$37*J43,2)</f>
        <v>449.81</v>
      </c>
    </row>
    <row r="44" spans="3:12" ht="15" customHeight="1" x14ac:dyDescent="0.35">
      <c r="C44" s="268" t="s">
        <v>73</v>
      </c>
      <c r="D44" s="269"/>
      <c r="E44" s="269"/>
      <c r="F44" s="269"/>
      <c r="G44" s="270"/>
      <c r="H44" s="8">
        <f>SUM(H42:H43)</f>
        <v>0.20429999999999998</v>
      </c>
      <c r="I44" s="9">
        <f>SUM(I42:I43)</f>
        <v>723.31</v>
      </c>
      <c r="J44" s="179">
        <f>SUM(J42:J43)</f>
        <v>0.20429999999999998</v>
      </c>
      <c r="K44" s="180">
        <f>SUM(K42:K43)</f>
        <v>759.47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72" t="s">
        <v>74</v>
      </c>
      <c r="D46" s="272"/>
      <c r="E46" s="272"/>
      <c r="F46" s="272"/>
      <c r="G46" s="272"/>
      <c r="H46" s="272"/>
      <c r="I46" s="272"/>
    </row>
    <row r="47" spans="3:12" s="152" customFormat="1" ht="15" customHeight="1" x14ac:dyDescent="0.35">
      <c r="C47" s="153" t="s">
        <v>75</v>
      </c>
      <c r="D47" s="279" t="s">
        <v>76</v>
      </c>
      <c r="E47" s="279"/>
      <c r="F47" s="279"/>
      <c r="G47" s="279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6" t="s">
        <v>25</v>
      </c>
      <c r="E48" s="276"/>
      <c r="F48" s="276"/>
      <c r="G48" s="276"/>
      <c r="H48" s="7">
        <v>0.2</v>
      </c>
      <c r="I48" s="2">
        <f t="shared" ref="I48:I55" si="0">ROUND(H48*($I$37+$I$44),2)</f>
        <v>852.75</v>
      </c>
      <c r="J48" s="178">
        <v>0.2</v>
      </c>
      <c r="K48" s="175">
        <f>ROUND(J48*($K$37+$K$44),2)</f>
        <v>895.38</v>
      </c>
    </row>
    <row r="49" spans="3:11" ht="15" customHeight="1" x14ac:dyDescent="0.35">
      <c r="C49" s="38" t="s">
        <v>6</v>
      </c>
      <c r="D49" s="276" t="s">
        <v>27</v>
      </c>
      <c r="E49" s="276"/>
      <c r="F49" s="276"/>
      <c r="G49" s="276"/>
      <c r="H49" s="7">
        <v>2.5000000000000001E-2</v>
      </c>
      <c r="I49" s="2">
        <f t="shared" si="0"/>
        <v>106.59</v>
      </c>
      <c r="J49" s="178">
        <v>2.5000000000000001E-2</v>
      </c>
      <c r="K49" s="175">
        <f t="shared" ref="K49:K55" si="1">ROUND(J49*($K$37+$K$44),2)</f>
        <v>111.92</v>
      </c>
    </row>
    <row r="50" spans="3:11" ht="15" customHeight="1" x14ac:dyDescent="0.35">
      <c r="C50" s="38" t="s">
        <v>8</v>
      </c>
      <c r="D50" s="276" t="s">
        <v>149</v>
      </c>
      <c r="E50" s="276"/>
      <c r="F50" s="276"/>
      <c r="G50" s="276"/>
      <c r="H50" s="7">
        <f>ROUND(3%*1.111,4)</f>
        <v>3.3300000000000003E-2</v>
      </c>
      <c r="I50" s="2">
        <f t="shared" si="0"/>
        <v>141.97999999999999</v>
      </c>
      <c r="J50" s="178">
        <f>ROUND(3%*1.111,4)</f>
        <v>3.3300000000000003E-2</v>
      </c>
      <c r="K50" s="175">
        <f t="shared" si="1"/>
        <v>149.08000000000001</v>
      </c>
    </row>
    <row r="51" spans="3:11" ht="15" customHeight="1" x14ac:dyDescent="0.35">
      <c r="C51" s="38" t="s">
        <v>10</v>
      </c>
      <c r="D51" s="276" t="s">
        <v>77</v>
      </c>
      <c r="E51" s="276"/>
      <c r="F51" s="276"/>
      <c r="G51" s="276"/>
      <c r="H51" s="7">
        <v>1.4999999999999999E-2</v>
      </c>
      <c r="I51" s="2">
        <f t="shared" si="0"/>
        <v>63.96</v>
      </c>
      <c r="J51" s="178">
        <v>1.4999999999999999E-2</v>
      </c>
      <c r="K51" s="175">
        <f t="shared" si="1"/>
        <v>67.150000000000006</v>
      </c>
    </row>
    <row r="52" spans="3:11" ht="15" customHeight="1" x14ac:dyDescent="0.35">
      <c r="C52" s="38" t="s">
        <v>11</v>
      </c>
      <c r="D52" s="276" t="s">
        <v>78</v>
      </c>
      <c r="E52" s="276"/>
      <c r="F52" s="276"/>
      <c r="G52" s="276"/>
      <c r="H52" s="7">
        <v>0.01</v>
      </c>
      <c r="I52" s="2">
        <f t="shared" si="0"/>
        <v>42.64</v>
      </c>
      <c r="J52" s="178">
        <v>0.01</v>
      </c>
      <c r="K52" s="175">
        <f t="shared" si="1"/>
        <v>44.77</v>
      </c>
    </row>
    <row r="53" spans="3:11" ht="15" customHeight="1" x14ac:dyDescent="0.35">
      <c r="C53" s="38" t="s">
        <v>12</v>
      </c>
      <c r="D53" s="276" t="s">
        <v>31</v>
      </c>
      <c r="E53" s="276"/>
      <c r="F53" s="276"/>
      <c r="G53" s="276"/>
      <c r="H53" s="7">
        <v>6.0000000000000001E-3</v>
      </c>
      <c r="I53" s="2">
        <f t="shared" si="0"/>
        <v>25.58</v>
      </c>
      <c r="J53" s="178">
        <v>6.0000000000000001E-3</v>
      </c>
      <c r="K53" s="175">
        <f t="shared" si="1"/>
        <v>26.86</v>
      </c>
    </row>
    <row r="54" spans="3:11" ht="15" customHeight="1" x14ac:dyDescent="0.35">
      <c r="C54" s="38" t="s">
        <v>29</v>
      </c>
      <c r="D54" s="276" t="s">
        <v>26</v>
      </c>
      <c r="E54" s="276"/>
      <c r="F54" s="276"/>
      <c r="G54" s="276"/>
      <c r="H54" s="7">
        <v>2E-3</v>
      </c>
      <c r="I54" s="2">
        <f t="shared" si="0"/>
        <v>8.5299999999999994</v>
      </c>
      <c r="J54" s="178">
        <v>2E-3</v>
      </c>
      <c r="K54" s="175">
        <f t="shared" si="1"/>
        <v>8.9499999999999993</v>
      </c>
    </row>
    <row r="55" spans="3:11" ht="15" customHeight="1" x14ac:dyDescent="0.35">
      <c r="C55" s="38" t="s">
        <v>30</v>
      </c>
      <c r="D55" s="276" t="s">
        <v>28</v>
      </c>
      <c r="E55" s="276"/>
      <c r="F55" s="276"/>
      <c r="G55" s="276"/>
      <c r="H55" s="7">
        <v>0.08</v>
      </c>
      <c r="I55" s="2">
        <f t="shared" si="0"/>
        <v>341.1</v>
      </c>
      <c r="J55" s="178">
        <v>0.08</v>
      </c>
      <c r="K55" s="175">
        <f t="shared" si="1"/>
        <v>358.15</v>
      </c>
    </row>
    <row r="56" spans="3:11" ht="15" customHeight="1" x14ac:dyDescent="0.35">
      <c r="C56" s="279" t="s">
        <v>73</v>
      </c>
      <c r="D56" s="279"/>
      <c r="E56" s="279"/>
      <c r="F56" s="279"/>
      <c r="G56" s="279"/>
      <c r="H56" s="10">
        <f>ROUND(SUM(H48:H55),4)</f>
        <v>0.37130000000000002</v>
      </c>
      <c r="I56" s="9">
        <f>ROUND(SUM(I48:I55),4)</f>
        <v>1583.13</v>
      </c>
      <c r="J56" s="181">
        <f>ROUND(SUM(J48:J55),4)</f>
        <v>0.37130000000000002</v>
      </c>
      <c r="K56" s="180">
        <f>ROUND(SUM(K48:K55),4)</f>
        <v>1662.26</v>
      </c>
    </row>
    <row r="58" spans="3:11" ht="15" customHeight="1" x14ac:dyDescent="0.35">
      <c r="C58" s="287" t="s">
        <v>79</v>
      </c>
      <c r="D58" s="287"/>
      <c r="E58" s="287"/>
      <c r="F58" s="287"/>
      <c r="G58" s="287"/>
      <c r="H58" s="287"/>
      <c r="I58" s="287"/>
    </row>
    <row r="59" spans="3:11" ht="15" customHeight="1" x14ac:dyDescent="0.35">
      <c r="C59" s="153" t="s">
        <v>80</v>
      </c>
      <c r="D59" s="278" t="s">
        <v>22</v>
      </c>
      <c r="E59" s="278"/>
      <c r="F59" s="278"/>
      <c r="G59" s="278"/>
      <c r="H59" s="278"/>
      <c r="I59" s="153" t="s">
        <v>20</v>
      </c>
      <c r="K59" s="174" t="s">
        <v>20</v>
      </c>
    </row>
    <row r="60" spans="3:11" ht="15" customHeight="1" x14ac:dyDescent="0.35">
      <c r="C60" s="286" t="s">
        <v>4</v>
      </c>
      <c r="D60" s="264" t="s">
        <v>56</v>
      </c>
      <c r="E60" s="264"/>
      <c r="F60" s="264"/>
      <c r="G60" s="264"/>
      <c r="H60" s="264"/>
      <c r="I60" s="1">
        <f>ROUND(11*15,2)</f>
        <v>165</v>
      </c>
      <c r="K60" s="182">
        <f>ROUND(11*15,2)</f>
        <v>165</v>
      </c>
    </row>
    <row r="61" spans="3:11" ht="15" customHeight="1" x14ac:dyDescent="0.35">
      <c r="C61" s="286"/>
      <c r="D61" s="264" t="s">
        <v>64</v>
      </c>
      <c r="E61" s="264"/>
      <c r="F61" s="264"/>
      <c r="G61" s="264"/>
      <c r="H61" s="264"/>
      <c r="I61" s="1">
        <f>ROUND(IF((I30*-6%)&lt;=(-I60),-I60,(I30*-6%)),2)</f>
        <v>-163.4</v>
      </c>
      <c r="K61" s="182">
        <f>ROUND(IF((K30*-6%)&lt;=(-K60),-K60,(K30*-6%)),2)</f>
        <v>-165</v>
      </c>
    </row>
    <row r="62" spans="3:11" ht="15" customHeight="1" x14ac:dyDescent="0.35">
      <c r="C62" s="38" t="s">
        <v>6</v>
      </c>
      <c r="D62" s="264" t="s">
        <v>220</v>
      </c>
      <c r="E62" s="264"/>
      <c r="F62" s="264"/>
      <c r="G62" s="264"/>
      <c r="H62" s="264"/>
      <c r="I62" s="2">
        <f>46.42*15</f>
        <v>696.30000000000007</v>
      </c>
      <c r="K62" s="175">
        <f>49.63*15</f>
        <v>744.45</v>
      </c>
    </row>
    <row r="63" spans="3:11" ht="15" customHeight="1" x14ac:dyDescent="0.35">
      <c r="C63" s="38" t="s">
        <v>8</v>
      </c>
      <c r="D63" s="264" t="s">
        <v>117</v>
      </c>
      <c r="E63" s="264"/>
      <c r="F63" s="264"/>
      <c r="G63" s="264"/>
      <c r="H63" s="264"/>
      <c r="I63" s="2">
        <v>0</v>
      </c>
      <c r="K63" s="175">
        <v>0</v>
      </c>
    </row>
    <row r="64" spans="3:11" ht="15" customHeight="1" x14ac:dyDescent="0.35">
      <c r="C64" s="38" t="s">
        <v>10</v>
      </c>
      <c r="D64" s="264" t="s">
        <v>104</v>
      </c>
      <c r="E64" s="264"/>
      <c r="F64" s="264"/>
      <c r="G64" s="264"/>
      <c r="H64" s="264"/>
      <c r="I64" s="2">
        <v>22.93</v>
      </c>
      <c r="K64" s="175">
        <v>22.93</v>
      </c>
    </row>
    <row r="65" spans="3:12" ht="15" customHeight="1" x14ac:dyDescent="0.35">
      <c r="C65" s="38" t="s">
        <v>11</v>
      </c>
      <c r="D65" s="264" t="s">
        <v>118</v>
      </c>
      <c r="E65" s="264"/>
      <c r="F65" s="264"/>
      <c r="G65" s="264"/>
      <c r="H65" s="264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64" t="s">
        <v>322</v>
      </c>
      <c r="E66" s="264"/>
      <c r="F66" s="264"/>
      <c r="G66" s="264"/>
      <c r="H66" s="264"/>
      <c r="I66" s="2">
        <v>0</v>
      </c>
      <c r="K66" s="175">
        <v>25</v>
      </c>
    </row>
    <row r="67" spans="3:12" ht="15" customHeight="1" x14ac:dyDescent="0.35">
      <c r="C67" s="279" t="s">
        <v>73</v>
      </c>
      <c r="D67" s="279"/>
      <c r="E67" s="279"/>
      <c r="F67" s="279"/>
      <c r="G67" s="279"/>
      <c r="H67" s="279"/>
      <c r="I67" s="6">
        <f>ROUND(SUM(I60:I66),2)</f>
        <v>720.83</v>
      </c>
      <c r="K67" s="177">
        <f>ROUND(SUM(K60:K66),2)</f>
        <v>792.38</v>
      </c>
    </row>
    <row r="68" spans="3:12" ht="15" customHeight="1" x14ac:dyDescent="0.35">
      <c r="D68" s="36"/>
    </row>
    <row r="69" spans="3:12" ht="15" customHeight="1" x14ac:dyDescent="0.35">
      <c r="C69" s="277" t="s">
        <v>81</v>
      </c>
      <c r="D69" s="277"/>
      <c r="E69" s="277"/>
      <c r="F69" s="277"/>
      <c r="G69" s="277"/>
      <c r="H69" s="277"/>
      <c r="I69" s="277"/>
    </row>
    <row r="70" spans="3:12" ht="15" customHeight="1" x14ac:dyDescent="0.35">
      <c r="C70" s="153">
        <v>2</v>
      </c>
      <c r="D70" s="279" t="s">
        <v>34</v>
      </c>
      <c r="E70" s="279"/>
      <c r="F70" s="279"/>
      <c r="G70" s="279"/>
      <c r="H70" s="279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6" t="s">
        <v>82</v>
      </c>
      <c r="E71" s="276"/>
      <c r="F71" s="276"/>
      <c r="G71" s="276"/>
      <c r="H71" s="7">
        <f>H44</f>
        <v>0.20429999999999998</v>
      </c>
      <c r="I71" s="11">
        <f>ROUND(I44,2)</f>
        <v>723.31</v>
      </c>
      <c r="J71" s="178">
        <f>J44</f>
        <v>0.20429999999999998</v>
      </c>
      <c r="K71" s="183">
        <f>ROUND(K44,2)</f>
        <v>759.47</v>
      </c>
    </row>
    <row r="72" spans="3:12" ht="15" customHeight="1" x14ac:dyDescent="0.35">
      <c r="C72" s="154" t="s">
        <v>75</v>
      </c>
      <c r="D72" s="276" t="s">
        <v>76</v>
      </c>
      <c r="E72" s="276"/>
      <c r="F72" s="276"/>
      <c r="G72" s="276"/>
      <c r="H72" s="7">
        <f>H56</f>
        <v>0.37130000000000002</v>
      </c>
      <c r="I72" s="11">
        <f>ROUND(I56,2)</f>
        <v>1583.13</v>
      </c>
      <c r="J72" s="178">
        <f>J56</f>
        <v>0.37130000000000002</v>
      </c>
      <c r="K72" s="183">
        <f>ROUND(K56,2)</f>
        <v>1662.26</v>
      </c>
    </row>
    <row r="73" spans="3:12" ht="15" customHeight="1" x14ac:dyDescent="0.35">
      <c r="C73" s="154" t="s">
        <v>80</v>
      </c>
      <c r="D73" s="273" t="s">
        <v>22</v>
      </c>
      <c r="E73" s="274"/>
      <c r="F73" s="274"/>
      <c r="G73" s="274"/>
      <c r="H73" s="275"/>
      <c r="I73" s="11">
        <f>ROUND(I67,2)</f>
        <v>720.83</v>
      </c>
      <c r="K73" s="183">
        <f>ROUND(K67,2)</f>
        <v>792.38</v>
      </c>
    </row>
    <row r="74" spans="3:12" ht="15" customHeight="1" x14ac:dyDescent="0.35">
      <c r="C74" s="279" t="s">
        <v>35</v>
      </c>
      <c r="D74" s="279"/>
      <c r="E74" s="279"/>
      <c r="F74" s="279"/>
      <c r="G74" s="279"/>
      <c r="H74" s="10">
        <f>ROUND(SUM(H71:H73),4)</f>
        <v>0.5756</v>
      </c>
      <c r="I74" s="9">
        <f>ROUND(SUM(I71:I73),2)</f>
        <v>3027.27</v>
      </c>
      <c r="J74" s="181">
        <f>ROUND(SUM(J71:J73),4)</f>
        <v>0.5756</v>
      </c>
      <c r="K74" s="180">
        <f>ROUND(SUM(K71:K73),2)</f>
        <v>3214.11</v>
      </c>
    </row>
    <row r="75" spans="3:12" ht="15" customHeight="1" x14ac:dyDescent="0.35">
      <c r="D75" s="36"/>
    </row>
    <row r="76" spans="3:12" ht="15" customHeight="1" x14ac:dyDescent="0.35">
      <c r="C76" s="277" t="s">
        <v>83</v>
      </c>
      <c r="D76" s="277"/>
      <c r="E76" s="277"/>
      <c r="F76" s="277"/>
      <c r="G76" s="277"/>
      <c r="H76" s="277"/>
      <c r="I76" s="277"/>
    </row>
    <row r="77" spans="3:12" ht="15" customHeight="1" x14ac:dyDescent="0.35">
      <c r="C77" s="153">
        <v>3</v>
      </c>
      <c r="D77" s="279" t="s">
        <v>33</v>
      </c>
      <c r="E77" s="279"/>
      <c r="F77" s="279"/>
      <c r="G77" s="279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6" t="s">
        <v>84</v>
      </c>
      <c r="E78" s="276"/>
      <c r="F78" s="276"/>
      <c r="G78" s="276"/>
      <c r="H78" s="7">
        <v>2.0000000000000001E-4</v>
      </c>
      <c r="I78" s="2">
        <f t="shared" ref="I78:I83" si="2">ROUND(I$37*H78,2)</f>
        <v>0.71</v>
      </c>
      <c r="J78" s="178">
        <v>2.0000000000000001E-4</v>
      </c>
      <c r="K78" s="175">
        <f t="shared" ref="K78:K83" si="3">ROUND(K$37*J78,2)</f>
        <v>0.74</v>
      </c>
    </row>
    <row r="79" spans="3:12" s="12" customFormat="1" ht="15" customHeight="1" x14ac:dyDescent="0.35">
      <c r="C79" s="154" t="s">
        <v>6</v>
      </c>
      <c r="D79" s="276" t="s">
        <v>55</v>
      </c>
      <c r="E79" s="276"/>
      <c r="F79" s="276"/>
      <c r="G79" s="276"/>
      <c r="H79" s="40">
        <f>ROUND(H78*H55,5)</f>
        <v>2.0000000000000002E-5</v>
      </c>
      <c r="I79" s="2">
        <f t="shared" si="2"/>
        <v>7.0000000000000007E-2</v>
      </c>
      <c r="J79" s="184">
        <f>ROUND(J78*J55,5)</f>
        <v>2.0000000000000002E-5</v>
      </c>
      <c r="K79" s="175">
        <f t="shared" si="3"/>
        <v>7.0000000000000007E-2</v>
      </c>
      <c r="L79" s="13"/>
    </row>
    <row r="80" spans="3:12" s="12" customFormat="1" ht="15" customHeight="1" x14ac:dyDescent="0.35">
      <c r="C80" s="154" t="s">
        <v>8</v>
      </c>
      <c r="D80" s="276" t="s">
        <v>85</v>
      </c>
      <c r="E80" s="276"/>
      <c r="F80" s="276"/>
      <c r="G80" s="276"/>
      <c r="H80" s="7">
        <v>3.9899999999999998E-2</v>
      </c>
      <c r="I80" s="2">
        <f t="shared" si="2"/>
        <v>141.26</v>
      </c>
      <c r="J80" s="178">
        <v>3.9899999999999998E-2</v>
      </c>
      <c r="K80" s="175">
        <f t="shared" si="3"/>
        <v>148.33000000000001</v>
      </c>
      <c r="L80" s="13"/>
    </row>
    <row r="81" spans="3:12" s="12" customFormat="1" ht="15" customHeight="1" x14ac:dyDescent="0.35">
      <c r="C81" s="154" t="s">
        <v>10</v>
      </c>
      <c r="D81" s="276" t="s">
        <v>86</v>
      </c>
      <c r="E81" s="276"/>
      <c r="F81" s="276"/>
      <c r="G81" s="276"/>
      <c r="H81" s="7">
        <v>2.0000000000000001E-4</v>
      </c>
      <c r="I81" s="2">
        <f t="shared" si="2"/>
        <v>0.71</v>
      </c>
      <c r="J81" s="178">
        <v>2.0000000000000001E-4</v>
      </c>
      <c r="K81" s="175">
        <f t="shared" si="3"/>
        <v>0.74</v>
      </c>
      <c r="L81" s="13"/>
    </row>
    <row r="82" spans="3:12" s="12" customFormat="1" ht="15" customHeight="1" x14ac:dyDescent="0.35">
      <c r="C82" s="154" t="s">
        <v>11</v>
      </c>
      <c r="D82" s="276" t="s">
        <v>87</v>
      </c>
      <c r="E82" s="276"/>
      <c r="F82" s="276"/>
      <c r="G82" s="276"/>
      <c r="H82" s="40">
        <f>ROUND(H81*H56,5)</f>
        <v>6.9999999999999994E-5</v>
      </c>
      <c r="I82" s="2">
        <f t="shared" si="2"/>
        <v>0.25</v>
      </c>
      <c r="J82" s="184">
        <f>ROUND(J81*J56,5)</f>
        <v>6.9999999999999994E-5</v>
      </c>
      <c r="K82" s="175">
        <f t="shared" si="3"/>
        <v>0.26</v>
      </c>
      <c r="L82" s="13"/>
    </row>
    <row r="83" spans="3:12" s="12" customFormat="1" ht="15" customHeight="1" x14ac:dyDescent="0.35">
      <c r="C83" s="154" t="s">
        <v>12</v>
      </c>
      <c r="D83" s="276" t="s">
        <v>88</v>
      </c>
      <c r="E83" s="276"/>
      <c r="F83" s="276"/>
      <c r="G83" s="276"/>
      <c r="H83" s="7">
        <v>1E-4</v>
      </c>
      <c r="I83" s="2">
        <f t="shared" si="2"/>
        <v>0.35</v>
      </c>
      <c r="J83" s="178">
        <v>1E-4</v>
      </c>
      <c r="K83" s="175">
        <f t="shared" si="3"/>
        <v>0.37</v>
      </c>
      <c r="L83" s="13"/>
    </row>
    <row r="84" spans="3:12" ht="15" customHeight="1" x14ac:dyDescent="0.35">
      <c r="C84" s="268" t="s">
        <v>73</v>
      </c>
      <c r="D84" s="269"/>
      <c r="E84" s="269"/>
      <c r="F84" s="269"/>
      <c r="G84" s="270"/>
      <c r="H84" s="8">
        <f>ROUND(SUM(H78:H83),4)</f>
        <v>4.0500000000000001E-2</v>
      </c>
      <c r="I84" s="9">
        <f>ROUND(SUM(I78:I83),2)</f>
        <v>143.35</v>
      </c>
      <c r="J84" s="179">
        <f>ROUND(SUM(J78:J83),4)</f>
        <v>4.0500000000000001E-2</v>
      </c>
      <c r="K84" s="180">
        <f>ROUND(SUM(K78:K83),2)</f>
        <v>150.51</v>
      </c>
    </row>
    <row r="86" spans="3:12" ht="15" customHeight="1" x14ac:dyDescent="0.35">
      <c r="C86" s="277" t="s">
        <v>89</v>
      </c>
      <c r="D86" s="277"/>
      <c r="E86" s="277"/>
      <c r="F86" s="277"/>
      <c r="G86" s="277"/>
      <c r="H86" s="277"/>
      <c r="I86" s="277"/>
    </row>
    <row r="87" spans="3:12" ht="15" customHeight="1" x14ac:dyDescent="0.35">
      <c r="C87" s="153" t="s">
        <v>24</v>
      </c>
      <c r="D87" s="279" t="s">
        <v>54</v>
      </c>
      <c r="E87" s="279"/>
      <c r="F87" s="279"/>
      <c r="G87" s="279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6" t="s">
        <v>105</v>
      </c>
      <c r="E88" s="276"/>
      <c r="F88" s="276"/>
      <c r="G88" s="276"/>
      <c r="H88" s="7">
        <v>2.9999999999999997E-4</v>
      </c>
      <c r="I88" s="2">
        <f t="shared" ref="I88:I93" si="4">ROUND(I$37*H88,2)</f>
        <v>1.06</v>
      </c>
      <c r="J88" s="178">
        <v>2.9999999999999997E-4</v>
      </c>
      <c r="K88" s="175">
        <f t="shared" ref="K88:K93" si="5">ROUND(K$37*J88,2)</f>
        <v>1.1200000000000001</v>
      </c>
    </row>
    <row r="89" spans="3:12" ht="15" customHeight="1" x14ac:dyDescent="0.35">
      <c r="C89" s="38" t="s">
        <v>6</v>
      </c>
      <c r="D89" s="276" t="s">
        <v>106</v>
      </c>
      <c r="E89" s="276"/>
      <c r="F89" s="276"/>
      <c r="G89" s="276"/>
      <c r="H89" s="7">
        <v>2.0000000000000001E-4</v>
      </c>
      <c r="I89" s="2">
        <f t="shared" si="4"/>
        <v>0.71</v>
      </c>
      <c r="J89" s="178">
        <v>2.0000000000000001E-4</v>
      </c>
      <c r="K89" s="175">
        <f t="shared" si="5"/>
        <v>0.74</v>
      </c>
    </row>
    <row r="90" spans="3:12" ht="15" customHeight="1" x14ac:dyDescent="0.35">
      <c r="C90" s="38" t="s">
        <v>8</v>
      </c>
      <c r="D90" s="276" t="s">
        <v>107</v>
      </c>
      <c r="E90" s="276"/>
      <c r="F90" s="276"/>
      <c r="G90" s="276"/>
      <c r="H90" s="7">
        <v>1E-4</v>
      </c>
      <c r="I90" s="2">
        <f t="shared" si="4"/>
        <v>0.35</v>
      </c>
      <c r="J90" s="178">
        <v>1E-4</v>
      </c>
      <c r="K90" s="175">
        <f t="shared" si="5"/>
        <v>0.37</v>
      </c>
    </row>
    <row r="91" spans="3:12" ht="15" customHeight="1" x14ac:dyDescent="0.35">
      <c r="C91" s="38" t="s">
        <v>10</v>
      </c>
      <c r="D91" s="276" t="s">
        <v>108</v>
      </c>
      <c r="E91" s="276"/>
      <c r="F91" s="276"/>
      <c r="G91" s="276"/>
      <c r="H91" s="7">
        <v>2.0000000000000001E-4</v>
      </c>
      <c r="I91" s="2">
        <f t="shared" si="4"/>
        <v>0.71</v>
      </c>
      <c r="J91" s="178">
        <v>2.0000000000000001E-4</v>
      </c>
      <c r="K91" s="175">
        <f t="shared" si="5"/>
        <v>0.74</v>
      </c>
    </row>
    <row r="92" spans="3:12" ht="15" customHeight="1" x14ac:dyDescent="0.35">
      <c r="C92" s="38" t="s">
        <v>11</v>
      </c>
      <c r="D92" s="276" t="s">
        <v>109</v>
      </c>
      <c r="E92" s="276"/>
      <c r="F92" s="276"/>
      <c r="G92" s="276"/>
      <c r="H92" s="7">
        <v>1E-4</v>
      </c>
      <c r="I92" s="2">
        <f t="shared" si="4"/>
        <v>0.35</v>
      </c>
      <c r="J92" s="178">
        <v>1E-4</v>
      </c>
      <c r="K92" s="175">
        <f t="shared" si="5"/>
        <v>0.37</v>
      </c>
    </row>
    <row r="93" spans="3:12" ht="15" customHeight="1" x14ac:dyDescent="0.35">
      <c r="C93" s="38" t="s">
        <v>12</v>
      </c>
      <c r="D93" s="276" t="s">
        <v>150</v>
      </c>
      <c r="E93" s="276"/>
      <c r="F93" s="276"/>
      <c r="G93" s="276"/>
      <c r="H93" s="7">
        <v>1E-4</v>
      </c>
      <c r="I93" s="2">
        <f t="shared" si="4"/>
        <v>0.35</v>
      </c>
      <c r="J93" s="178">
        <v>1E-4</v>
      </c>
      <c r="K93" s="175">
        <f t="shared" si="5"/>
        <v>0.37</v>
      </c>
    </row>
    <row r="94" spans="3:12" ht="15" customHeight="1" x14ac:dyDescent="0.35">
      <c r="C94" s="268" t="s">
        <v>73</v>
      </c>
      <c r="D94" s="269"/>
      <c r="E94" s="269"/>
      <c r="F94" s="269"/>
      <c r="G94" s="270"/>
      <c r="H94" s="8">
        <f>SUM(H88:H93)</f>
        <v>1E-3</v>
      </c>
      <c r="I94" s="9">
        <f>SUM(I88:I93)</f>
        <v>3.5300000000000002</v>
      </c>
      <c r="J94" s="179">
        <f>SUM(J88:J93)</f>
        <v>1E-3</v>
      </c>
      <c r="K94" s="180">
        <f>SUM(K88:K93)</f>
        <v>3.71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72" t="s">
        <v>110</v>
      </c>
      <c r="D96" s="272"/>
      <c r="E96" s="272"/>
      <c r="F96" s="272"/>
      <c r="G96" s="272"/>
      <c r="H96" s="272"/>
      <c r="I96" s="272"/>
    </row>
    <row r="97" spans="3:11" ht="15" customHeight="1" x14ac:dyDescent="0.35">
      <c r="C97" s="153" t="s">
        <v>32</v>
      </c>
      <c r="D97" s="268" t="s">
        <v>111</v>
      </c>
      <c r="E97" s="269"/>
      <c r="F97" s="269"/>
      <c r="G97" s="269"/>
      <c r="H97" s="270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73" t="s">
        <v>112</v>
      </c>
      <c r="E98" s="274"/>
      <c r="F98" s="274"/>
      <c r="G98" s="274"/>
      <c r="H98" s="275"/>
      <c r="I98" s="2">
        <f>ROUND((I30+I31)/220*0.5*15,2)</f>
        <v>120.7</v>
      </c>
      <c r="K98" s="175">
        <f>ROUND((K30+K31)/220*1.5*15,2)</f>
        <v>380.19</v>
      </c>
    </row>
    <row r="99" spans="3:11" ht="15" customHeight="1" x14ac:dyDescent="0.35">
      <c r="C99" s="268" t="s">
        <v>73</v>
      </c>
      <c r="D99" s="269"/>
      <c r="E99" s="269"/>
      <c r="F99" s="269"/>
      <c r="G99" s="269"/>
      <c r="H99" s="270"/>
      <c r="I99" s="9">
        <f>ROUND(SUM(I98:I98),2)</f>
        <v>120.7</v>
      </c>
      <c r="K99" s="180">
        <f>ROUND(SUM(K98:K98),2)</f>
        <v>380.19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72" t="s">
        <v>90</v>
      </c>
      <c r="D101" s="272"/>
      <c r="E101" s="272"/>
      <c r="F101" s="272"/>
      <c r="G101" s="272"/>
      <c r="H101" s="272"/>
      <c r="I101" s="272"/>
      <c r="K101" s="187"/>
    </row>
    <row r="102" spans="3:11" ht="15" customHeight="1" x14ac:dyDescent="0.35">
      <c r="C102" s="153">
        <v>4</v>
      </c>
      <c r="D102" s="268" t="s">
        <v>100</v>
      </c>
      <c r="E102" s="269"/>
      <c r="F102" s="269"/>
      <c r="G102" s="269"/>
      <c r="H102" s="270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73" t="s">
        <v>113</v>
      </c>
      <c r="E103" s="274"/>
      <c r="F103" s="274"/>
      <c r="G103" s="274"/>
      <c r="H103" s="275"/>
      <c r="I103" s="2">
        <f>ROUND(I94,2)</f>
        <v>3.53</v>
      </c>
      <c r="K103" s="175">
        <f>ROUND(K94,2)</f>
        <v>3.71</v>
      </c>
    </row>
    <row r="104" spans="3:11" ht="15" customHeight="1" x14ac:dyDescent="0.35">
      <c r="C104" s="17" t="s">
        <v>32</v>
      </c>
      <c r="D104" s="273" t="s">
        <v>111</v>
      </c>
      <c r="E104" s="274"/>
      <c r="F104" s="274"/>
      <c r="G104" s="274"/>
      <c r="H104" s="275"/>
      <c r="I104" s="2">
        <f>ROUND(I99,2)</f>
        <v>120.7</v>
      </c>
      <c r="K104" s="175">
        <f>ROUND(K99,2)</f>
        <v>380.19</v>
      </c>
    </row>
    <row r="105" spans="3:11" ht="15" customHeight="1" x14ac:dyDescent="0.35">
      <c r="C105" s="268" t="s">
        <v>73</v>
      </c>
      <c r="D105" s="269"/>
      <c r="E105" s="269"/>
      <c r="F105" s="269"/>
      <c r="G105" s="269"/>
      <c r="H105" s="270"/>
      <c r="I105" s="9">
        <f>ROUND(SUM(I103:I104),2)</f>
        <v>124.23</v>
      </c>
      <c r="K105" s="180">
        <f>ROUND(SUM(K103:K104),2)</f>
        <v>383.9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7" t="s">
        <v>91</v>
      </c>
      <c r="D107" s="277"/>
      <c r="E107" s="277"/>
      <c r="F107" s="277"/>
      <c r="G107" s="277"/>
      <c r="H107" s="277"/>
      <c r="I107" s="277"/>
      <c r="J107" s="187"/>
    </row>
    <row r="108" spans="3:11" ht="15" customHeight="1" x14ac:dyDescent="0.35">
      <c r="C108" s="153">
        <v>5</v>
      </c>
      <c r="D108" s="278" t="s">
        <v>23</v>
      </c>
      <c r="E108" s="278"/>
      <c r="F108" s="278"/>
      <c r="G108" s="278"/>
      <c r="H108" s="278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64" t="s">
        <v>173</v>
      </c>
      <c r="E109" s="264"/>
      <c r="F109" s="264"/>
      <c r="G109" s="264"/>
      <c r="H109" s="264"/>
      <c r="I109" s="2">
        <f>'unif equip'!G33</f>
        <v>118.06</v>
      </c>
      <c r="J109" s="187"/>
      <c r="K109" s="175">
        <f>'unif equip'!G33</f>
        <v>118.06</v>
      </c>
    </row>
    <row r="110" spans="3:11" ht="15" customHeight="1" x14ac:dyDescent="0.35">
      <c r="C110" s="38" t="s">
        <v>6</v>
      </c>
      <c r="D110" s="276" t="s">
        <v>174</v>
      </c>
      <c r="E110" s="264"/>
      <c r="F110" s="264"/>
      <c r="G110" s="264"/>
      <c r="H110" s="264"/>
      <c r="I110" s="2">
        <f>'unif equip'!H86</f>
        <v>7.29</v>
      </c>
      <c r="J110" s="187"/>
      <c r="K110" s="175">
        <f>'unif equip'!H86</f>
        <v>7.29</v>
      </c>
    </row>
    <row r="111" spans="3:11" ht="15" customHeight="1" x14ac:dyDescent="0.35">
      <c r="C111" s="38" t="s">
        <v>8</v>
      </c>
      <c r="D111" s="276" t="s">
        <v>175</v>
      </c>
      <c r="E111" s="264"/>
      <c r="F111" s="264"/>
      <c r="G111" s="264"/>
      <c r="H111" s="264"/>
      <c r="I111" s="2">
        <f>'unif equip'!H54</f>
        <v>29.44</v>
      </c>
      <c r="J111" s="187"/>
      <c r="K111" s="175">
        <f>'unif equip'!H54</f>
        <v>29.44</v>
      </c>
    </row>
    <row r="112" spans="3:11" ht="15" customHeight="1" x14ac:dyDescent="0.35">
      <c r="C112" s="38" t="s">
        <v>10</v>
      </c>
      <c r="D112" s="264" t="s">
        <v>176</v>
      </c>
      <c r="E112" s="264"/>
      <c r="F112" s="264"/>
      <c r="G112" s="264"/>
      <c r="H112" s="264"/>
      <c r="I112" s="2">
        <v>0</v>
      </c>
      <c r="J112" s="187"/>
      <c r="K112" s="175">
        <v>0</v>
      </c>
    </row>
    <row r="113" spans="3:11" ht="15" customHeight="1" x14ac:dyDescent="0.35">
      <c r="C113" s="268" t="s">
        <v>73</v>
      </c>
      <c r="D113" s="269"/>
      <c r="E113" s="269"/>
      <c r="F113" s="269"/>
      <c r="G113" s="269"/>
      <c r="H113" s="270"/>
      <c r="I113" s="6">
        <f>ROUND(SUM(I109:I112),2)</f>
        <v>154.79</v>
      </c>
      <c r="J113" s="187"/>
      <c r="K113" s="177">
        <f>ROUND(SUM(K109:K112),2)</f>
        <v>154.79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65" t="s">
        <v>92</v>
      </c>
      <c r="D115" s="265"/>
      <c r="E115" s="265"/>
      <c r="F115" s="265"/>
      <c r="G115" s="265"/>
      <c r="H115" s="265"/>
      <c r="I115" s="265"/>
    </row>
    <row r="116" spans="3:11" ht="15" customHeight="1" x14ac:dyDescent="0.35">
      <c r="C116" s="39">
        <v>6</v>
      </c>
      <c r="D116" s="271" t="s">
        <v>50</v>
      </c>
      <c r="E116" s="271"/>
      <c r="F116" s="271"/>
      <c r="G116" s="271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67" t="s">
        <v>93</v>
      </c>
      <c r="E117" s="267"/>
      <c r="F117" s="267"/>
      <c r="G117" s="267"/>
      <c r="H117" s="19">
        <v>0.01</v>
      </c>
      <c r="I117" s="20">
        <f>ROUND(H117*SUM($I$113,$I$105,$I$84,$I$74,$I$37),2)</f>
        <v>69.900000000000006</v>
      </c>
      <c r="J117" s="190">
        <v>0.01</v>
      </c>
      <c r="K117" s="191">
        <f>ROUND(J117*SUM($K$113,$K$105,$K$84,$K$74,$K$37),2)</f>
        <v>76.209999999999994</v>
      </c>
    </row>
    <row r="118" spans="3:11" ht="15" customHeight="1" x14ac:dyDescent="0.35">
      <c r="C118" s="38" t="s">
        <v>6</v>
      </c>
      <c r="D118" s="267" t="s">
        <v>94</v>
      </c>
      <c r="E118" s="267"/>
      <c r="F118" s="267"/>
      <c r="G118" s="267"/>
      <c r="H118" s="19">
        <v>8.0000000000000002E-3</v>
      </c>
      <c r="I118" s="20">
        <f>ROUND(H118*SUM($I$113,$I$105,$I$84,$I$74,$I$37,I117),2)</f>
        <v>56.48</v>
      </c>
      <c r="J118" s="190">
        <v>8.0000000000000002E-3</v>
      </c>
      <c r="K118" s="191">
        <f>ROUND(J118*SUM($K$113,$K$105,$K$84,$K$74,$K$37,K117),2)</f>
        <v>61.58</v>
      </c>
    </row>
    <row r="119" spans="3:11" ht="15" customHeight="1" x14ac:dyDescent="0.35">
      <c r="C119" s="261" t="s">
        <v>8</v>
      </c>
      <c r="D119" s="267" t="s">
        <v>36</v>
      </c>
      <c r="E119" s="267"/>
      <c r="F119" s="267"/>
      <c r="G119" s="267"/>
      <c r="H119" s="19">
        <f>H120+H121+H122</f>
        <v>8.6499999999999994E-2</v>
      </c>
      <c r="I119" s="20">
        <f ca="1">ROUND(SUM(I120,I121,I122),2)</f>
        <v>673.87</v>
      </c>
      <c r="J119" s="190">
        <f>J120+J121+J122</f>
        <v>8.6499999999999994E-2</v>
      </c>
      <c r="K119" s="191">
        <f ca="1">ROUND(SUM(K120,K121,K122),2)</f>
        <v>734.66</v>
      </c>
    </row>
    <row r="120" spans="3:11" ht="15" customHeight="1" x14ac:dyDescent="0.35">
      <c r="C120" s="262"/>
      <c r="D120" s="267" t="s">
        <v>95</v>
      </c>
      <c r="E120" s="267"/>
      <c r="F120" s="267"/>
      <c r="G120" s="267"/>
      <c r="H120" s="19">
        <f>ROUND(3%+0.65%,4)</f>
        <v>3.6499999999999998E-2</v>
      </c>
      <c r="I120" s="20">
        <f ca="1">ROUND(H120*$I$134,2)</f>
        <v>284.35000000000002</v>
      </c>
      <c r="J120" s="190">
        <f>ROUND(3%+0.65%,4)</f>
        <v>3.6499999999999998E-2</v>
      </c>
      <c r="K120" s="191">
        <f ca="1">ROUND(J120*$K$134,2)</f>
        <v>310</v>
      </c>
    </row>
    <row r="121" spans="3:11" ht="15" customHeight="1" x14ac:dyDescent="0.35">
      <c r="C121" s="262"/>
      <c r="D121" s="267" t="s">
        <v>96</v>
      </c>
      <c r="E121" s="267"/>
      <c r="F121" s="267"/>
      <c r="G121" s="267"/>
      <c r="H121" s="19">
        <f>ROUND(5%,4)</f>
        <v>0.05</v>
      </c>
      <c r="I121" s="20">
        <f ca="1">ROUND(H121*$I$134,2)</f>
        <v>389.52</v>
      </c>
      <c r="J121" s="190">
        <f>ROUND(5%,4)</f>
        <v>0.05</v>
      </c>
      <c r="K121" s="191">
        <f ca="1">ROUND(J121*$K$134,2)</f>
        <v>424.66</v>
      </c>
    </row>
    <row r="122" spans="3:11" ht="15" customHeight="1" x14ac:dyDescent="0.35">
      <c r="C122" s="263"/>
      <c r="D122" s="267" t="s">
        <v>97</v>
      </c>
      <c r="E122" s="267"/>
      <c r="F122" s="267"/>
      <c r="G122" s="26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58" t="s">
        <v>35</v>
      </c>
      <c r="D123" s="259"/>
      <c r="E123" s="259"/>
      <c r="F123" s="259"/>
      <c r="G123" s="259"/>
      <c r="H123" s="260"/>
      <c r="I123" s="22">
        <f ca="1">ROUND(SUM(I117,I118,I119),2)</f>
        <v>800.25</v>
      </c>
      <c r="K123" s="193">
        <f ca="1">ROUND(SUM(K117,K118,K119),2)</f>
        <v>872.45</v>
      </c>
    </row>
    <row r="125" spans="3:11" ht="15" customHeight="1" x14ac:dyDescent="0.35">
      <c r="C125" s="265" t="s">
        <v>98</v>
      </c>
      <c r="D125" s="265"/>
      <c r="E125" s="265"/>
      <c r="F125" s="265"/>
      <c r="G125" s="265"/>
      <c r="H125" s="265"/>
      <c r="I125" s="265"/>
    </row>
    <row r="126" spans="3:11" ht="15" customHeight="1" x14ac:dyDescent="0.35">
      <c r="C126" s="38"/>
      <c r="D126" s="266" t="s">
        <v>51</v>
      </c>
      <c r="E126" s="266"/>
      <c r="F126" s="266"/>
      <c r="G126" s="266"/>
      <c r="H126" s="266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64" t="s">
        <v>37</v>
      </c>
      <c r="E127" s="264"/>
      <c r="F127" s="264"/>
      <c r="G127" s="264"/>
      <c r="H127" s="264"/>
      <c r="I127" s="23">
        <f>ROUND(I37,2)</f>
        <v>3540.43</v>
      </c>
      <c r="K127" s="194">
        <f>ROUND(K37,2)</f>
        <v>3717.45</v>
      </c>
    </row>
    <row r="128" spans="3:11" ht="15" customHeight="1" x14ac:dyDescent="0.35">
      <c r="C128" s="38" t="s">
        <v>6</v>
      </c>
      <c r="D128" s="264" t="s">
        <v>68</v>
      </c>
      <c r="E128" s="264"/>
      <c r="F128" s="264"/>
      <c r="G128" s="264"/>
      <c r="H128" s="264"/>
      <c r="I128" s="23">
        <f>ROUND(I74,2)</f>
        <v>3027.27</v>
      </c>
      <c r="K128" s="194">
        <f>ROUND(K74,2)</f>
        <v>3214.11</v>
      </c>
    </row>
    <row r="129" spans="3:12" ht="15" customHeight="1" x14ac:dyDescent="0.35">
      <c r="C129" s="38" t="s">
        <v>8</v>
      </c>
      <c r="D129" s="264" t="s">
        <v>83</v>
      </c>
      <c r="E129" s="264"/>
      <c r="F129" s="264"/>
      <c r="G129" s="264"/>
      <c r="H129" s="264"/>
      <c r="I129" s="23">
        <f>ROUND(I84,2)</f>
        <v>143.35</v>
      </c>
      <c r="K129" s="194">
        <f>ROUND(K84,2)</f>
        <v>150.51</v>
      </c>
    </row>
    <row r="130" spans="3:12" ht="15" customHeight="1" x14ac:dyDescent="0.35">
      <c r="C130" s="38" t="s">
        <v>10</v>
      </c>
      <c r="D130" s="264" t="s">
        <v>89</v>
      </c>
      <c r="E130" s="264"/>
      <c r="F130" s="264"/>
      <c r="G130" s="264"/>
      <c r="H130" s="264"/>
      <c r="I130" s="23">
        <f>ROUND(I105,2)</f>
        <v>124.23</v>
      </c>
      <c r="K130" s="194">
        <f>ROUND(K105,2)</f>
        <v>383.9</v>
      </c>
    </row>
    <row r="131" spans="3:12" ht="15" customHeight="1" x14ac:dyDescent="0.35">
      <c r="C131" s="38" t="s">
        <v>11</v>
      </c>
      <c r="D131" s="264" t="s">
        <v>91</v>
      </c>
      <c r="E131" s="264"/>
      <c r="F131" s="264"/>
      <c r="G131" s="264"/>
      <c r="H131" s="264"/>
      <c r="I131" s="23">
        <f>ROUND(I113,2)</f>
        <v>154.79</v>
      </c>
      <c r="K131" s="194">
        <f>ROUND(K113,2)</f>
        <v>154.79</v>
      </c>
    </row>
    <row r="132" spans="3:12" ht="15" customHeight="1" x14ac:dyDescent="0.35">
      <c r="C132" s="258" t="s">
        <v>223</v>
      </c>
      <c r="D132" s="259"/>
      <c r="E132" s="259"/>
      <c r="F132" s="259"/>
      <c r="G132" s="259"/>
      <c r="H132" s="260"/>
      <c r="I132" s="24">
        <f>ROUND(SUM(I127:I131),2)</f>
        <v>6990.07</v>
      </c>
      <c r="J132" s="187"/>
      <c r="K132" s="195">
        <f>ROUND(SUM(K127:K131),2)</f>
        <v>7620.76</v>
      </c>
    </row>
    <row r="133" spans="3:12" ht="15" customHeight="1" x14ac:dyDescent="0.35">
      <c r="C133" s="38" t="s">
        <v>12</v>
      </c>
      <c r="D133" s="264" t="s">
        <v>99</v>
      </c>
      <c r="E133" s="264"/>
      <c r="F133" s="264"/>
      <c r="G133" s="264"/>
      <c r="H133" s="264"/>
      <c r="I133" s="23">
        <f ca="1">ROUND(I123,2)</f>
        <v>800.25</v>
      </c>
      <c r="J133" s="187"/>
      <c r="K133" s="194">
        <f ca="1">ROUND(K123,2)</f>
        <v>872.45</v>
      </c>
    </row>
    <row r="134" spans="3:12" ht="15" customHeight="1" x14ac:dyDescent="0.35">
      <c r="C134" s="258" t="s">
        <v>52</v>
      </c>
      <c r="D134" s="259"/>
      <c r="E134" s="259"/>
      <c r="F134" s="259"/>
      <c r="G134" s="259"/>
      <c r="H134" s="260"/>
      <c r="I134" s="24">
        <f ca="1">ROUND(SUM(I132:I133),2)</f>
        <v>7790.32</v>
      </c>
      <c r="K134" s="195">
        <f ca="1">ROUND(SUM(K132:K133),2)</f>
        <v>8493.2099999999991</v>
      </c>
      <c r="L134" s="25"/>
    </row>
    <row r="135" spans="3:12" ht="15" customHeight="1" x14ac:dyDescent="0.35">
      <c r="C135" s="258" t="s">
        <v>119</v>
      </c>
      <c r="D135" s="259"/>
      <c r="E135" s="259"/>
      <c r="F135" s="259"/>
      <c r="G135" s="259"/>
      <c r="H135" s="260"/>
      <c r="I135" s="24">
        <f ca="1">ROUND(2*I134,2)</f>
        <v>15580.64</v>
      </c>
      <c r="K135" s="195">
        <f ca="1">ROUND(2*K134,2)</f>
        <v>16986.419999999998</v>
      </c>
    </row>
    <row r="136" spans="3:12" ht="15" customHeight="1" x14ac:dyDescent="0.35">
      <c r="C136"/>
      <c r="D136"/>
      <c r="E136"/>
      <c r="F136"/>
      <c r="G136"/>
      <c r="H136"/>
      <c r="I136"/>
      <c r="J136" s="205"/>
      <c r="K136" s="206"/>
    </row>
    <row r="137" spans="3:12" ht="15" customHeight="1" x14ac:dyDescent="0.35">
      <c r="C137"/>
      <c r="D137"/>
      <c r="E137"/>
      <c r="F137"/>
      <c r="G137"/>
      <c r="H137"/>
      <c r="I137"/>
      <c r="J137" s="205"/>
      <c r="K137" s="206"/>
    </row>
    <row r="138" spans="3:12" ht="15" customHeight="1" x14ac:dyDescent="0.35">
      <c r="C138"/>
      <c r="D138"/>
      <c r="E138"/>
      <c r="F138"/>
      <c r="G138"/>
      <c r="H138"/>
      <c r="I138"/>
      <c r="J138" s="196"/>
      <c r="K138" s="196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  <mergeCell ref="D130:H130"/>
    <mergeCell ref="D131:H131"/>
    <mergeCell ref="C132:H132"/>
    <mergeCell ref="D133:H133"/>
    <mergeCell ref="C134:H134"/>
    <mergeCell ref="C135:H135"/>
    <mergeCell ref="C123:H123"/>
    <mergeCell ref="C125:I125"/>
    <mergeCell ref="D126:H126"/>
    <mergeCell ref="D127:H127"/>
    <mergeCell ref="D128:H128"/>
    <mergeCell ref="D129:H129"/>
    <mergeCell ref="D117:G117"/>
    <mergeCell ref="D118:G118"/>
    <mergeCell ref="C119:C122"/>
    <mergeCell ref="D119:G119"/>
    <mergeCell ref="D120:G120"/>
    <mergeCell ref="D121:G121"/>
    <mergeCell ref="D122:G122"/>
    <mergeCell ref="D110:H110"/>
    <mergeCell ref="D111:H111"/>
    <mergeCell ref="D112:H112"/>
    <mergeCell ref="C113:H113"/>
    <mergeCell ref="C115:I115"/>
    <mergeCell ref="D116:G116"/>
    <mergeCell ref="D103:H103"/>
    <mergeCell ref="D104:H104"/>
    <mergeCell ref="C105:H105"/>
    <mergeCell ref="C107:I107"/>
    <mergeCell ref="D108:H108"/>
    <mergeCell ref="D109:H109"/>
    <mergeCell ref="C96:I96"/>
    <mergeCell ref="D97:H97"/>
    <mergeCell ref="D98:H98"/>
    <mergeCell ref="C99:H99"/>
    <mergeCell ref="C101:I101"/>
    <mergeCell ref="D102:H102"/>
    <mergeCell ref="D89:G89"/>
    <mergeCell ref="D90:G90"/>
    <mergeCell ref="D91:G91"/>
    <mergeCell ref="D92:G92"/>
    <mergeCell ref="D93:G93"/>
    <mergeCell ref="C94:G94"/>
    <mergeCell ref="D82:G82"/>
    <mergeCell ref="D83:G83"/>
    <mergeCell ref="C84:G84"/>
    <mergeCell ref="C86:I86"/>
    <mergeCell ref="D87:G87"/>
    <mergeCell ref="D88:G88"/>
    <mergeCell ref="C76:I76"/>
    <mergeCell ref="D77:G77"/>
    <mergeCell ref="D78:G78"/>
    <mergeCell ref="D79:G79"/>
    <mergeCell ref="D80:G80"/>
    <mergeCell ref="D81:G81"/>
    <mergeCell ref="C69:I69"/>
    <mergeCell ref="D70:H70"/>
    <mergeCell ref="D71:G71"/>
    <mergeCell ref="D72:G72"/>
    <mergeCell ref="D73:H73"/>
    <mergeCell ref="C74:G74"/>
    <mergeCell ref="D62:H62"/>
    <mergeCell ref="D63:H63"/>
    <mergeCell ref="D64:H64"/>
    <mergeCell ref="D65:H65"/>
    <mergeCell ref="D66:H66"/>
    <mergeCell ref="C67:H67"/>
    <mergeCell ref="C56:G56"/>
    <mergeCell ref="C58:I58"/>
    <mergeCell ref="D59:H59"/>
    <mergeCell ref="C60:C61"/>
    <mergeCell ref="D60:H60"/>
    <mergeCell ref="D61:H61"/>
    <mergeCell ref="D50:G50"/>
    <mergeCell ref="D51:G51"/>
    <mergeCell ref="D52:G52"/>
    <mergeCell ref="D53:G53"/>
    <mergeCell ref="D54:G54"/>
    <mergeCell ref="D55:G55"/>
    <mergeCell ref="D43:G43"/>
    <mergeCell ref="C44:G44"/>
    <mergeCell ref="C46:I46"/>
    <mergeCell ref="D47:G47"/>
    <mergeCell ref="D48:G48"/>
    <mergeCell ref="D49:G49"/>
    <mergeCell ref="D36:H36"/>
    <mergeCell ref="C37:H37"/>
    <mergeCell ref="C39:I39"/>
    <mergeCell ref="C40:I40"/>
    <mergeCell ref="D41:G41"/>
    <mergeCell ref="D42:G42"/>
    <mergeCell ref="D30:H30"/>
    <mergeCell ref="D31:H31"/>
    <mergeCell ref="D32:H32"/>
    <mergeCell ref="D33:H33"/>
    <mergeCell ref="D34:H34"/>
    <mergeCell ref="D35:H35"/>
    <mergeCell ref="D25:G25"/>
    <mergeCell ref="H25:I25"/>
    <mergeCell ref="D26:G26"/>
    <mergeCell ref="H26:I26"/>
    <mergeCell ref="C28:I28"/>
    <mergeCell ref="D29:H29"/>
    <mergeCell ref="D22:G22"/>
    <mergeCell ref="H22:I22"/>
    <mergeCell ref="D23:G23"/>
    <mergeCell ref="H23:I23"/>
    <mergeCell ref="D24:G24"/>
    <mergeCell ref="H24:I24"/>
    <mergeCell ref="C17:E17"/>
    <mergeCell ref="F17:G17"/>
    <mergeCell ref="H17:I17"/>
    <mergeCell ref="C19:I19"/>
    <mergeCell ref="C20:I20"/>
    <mergeCell ref="C21:I21"/>
    <mergeCell ref="D13:G13"/>
    <mergeCell ref="H13:I13"/>
    <mergeCell ref="C15:I15"/>
    <mergeCell ref="C16:E16"/>
    <mergeCell ref="F16:G16"/>
    <mergeCell ref="H16:I16"/>
    <mergeCell ref="C9:I9"/>
    <mergeCell ref="D10:G10"/>
    <mergeCell ref="H10:I10"/>
    <mergeCell ref="D11:G11"/>
    <mergeCell ref="H11:I11"/>
    <mergeCell ref="D12:G12"/>
    <mergeCell ref="H12:I12"/>
    <mergeCell ref="C2:I2"/>
    <mergeCell ref="C4:G4"/>
    <mergeCell ref="H4:I4"/>
    <mergeCell ref="C5:G5"/>
    <mergeCell ref="H5:I5"/>
    <mergeCell ref="C7:H7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0E13B-D530-47E9-9BF1-B6DEB71939C3}">
  <dimension ref="C2:M179"/>
  <sheetViews>
    <sheetView showGridLines="0" topLeftCell="A22" zoomScale="70" zoomScaleNormal="70" zoomScaleSheetLayoutView="100" workbookViewId="0">
      <pane xSplit="8" ySplit="7" topLeftCell="I108" activePane="bottomRight" state="frozen"/>
      <selection activeCell="A22" sqref="A22"/>
      <selection pane="topRight" activeCell="I22" sqref="I22"/>
      <selection pane="bottomLeft" activeCell="A29" sqref="A29"/>
      <selection pane="bottomRight" activeCell="K121" sqref="K121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3" ht="15" customHeight="1" x14ac:dyDescent="0.35">
      <c r="C2" s="272" t="s">
        <v>0</v>
      </c>
      <c r="D2" s="272"/>
      <c r="E2" s="272"/>
      <c r="F2" s="272"/>
      <c r="G2" s="272"/>
      <c r="H2" s="272"/>
      <c r="I2" s="272"/>
    </row>
    <row r="4" spans="3:13" ht="15" customHeight="1" x14ac:dyDescent="0.35">
      <c r="C4" s="280" t="s">
        <v>1</v>
      </c>
      <c r="D4" s="281"/>
      <c r="E4" s="281"/>
      <c r="F4" s="281"/>
      <c r="G4" s="282"/>
      <c r="H4" s="292" t="s">
        <v>172</v>
      </c>
      <c r="I4" s="293"/>
      <c r="J4" s="304"/>
      <c r="K4" s="304"/>
    </row>
    <row r="5" spans="3:13" ht="15" customHeight="1" x14ac:dyDescent="0.35">
      <c r="C5" s="280" t="s">
        <v>2</v>
      </c>
      <c r="D5" s="281"/>
      <c r="E5" s="281"/>
      <c r="F5" s="281"/>
      <c r="G5" s="282"/>
      <c r="H5" s="294" t="s">
        <v>171</v>
      </c>
      <c r="I5" s="295"/>
      <c r="J5" s="306"/>
      <c r="K5" s="307"/>
      <c r="M5" s="36" t="e">
        <f>I5/E5</f>
        <v>#DIV/0!</v>
      </c>
    </row>
    <row r="6" spans="3:13" ht="15" customHeight="1" x14ac:dyDescent="0.35">
      <c r="M6" s="36" t="e">
        <f>I6/E6</f>
        <v>#DIV/0!</v>
      </c>
    </row>
    <row r="7" spans="3:13" ht="15" customHeight="1" x14ac:dyDescent="0.35">
      <c r="C7" s="296" t="s">
        <v>140</v>
      </c>
      <c r="D7" s="296"/>
      <c r="E7" s="296"/>
      <c r="F7" s="296"/>
      <c r="G7" s="296"/>
      <c r="H7" s="296"/>
    </row>
    <row r="9" spans="3:13" ht="15" customHeight="1" x14ac:dyDescent="0.35">
      <c r="C9" s="277" t="s">
        <v>3</v>
      </c>
      <c r="D9" s="277"/>
      <c r="E9" s="277"/>
      <c r="F9" s="277"/>
      <c r="G9" s="277"/>
      <c r="H9" s="277"/>
      <c r="I9" s="277"/>
    </row>
    <row r="10" spans="3:13" ht="15" customHeight="1" x14ac:dyDescent="0.35">
      <c r="C10" s="38" t="s">
        <v>4</v>
      </c>
      <c r="D10" s="267" t="s">
        <v>5</v>
      </c>
      <c r="E10" s="267"/>
      <c r="F10" s="267"/>
      <c r="G10" s="267"/>
      <c r="H10" s="297">
        <v>45887</v>
      </c>
      <c r="I10" s="298"/>
      <c r="J10" s="308"/>
      <c r="K10" s="308"/>
    </row>
    <row r="11" spans="3:13" ht="15" customHeight="1" x14ac:dyDescent="0.35">
      <c r="C11" s="38" t="s">
        <v>6</v>
      </c>
      <c r="D11" s="267" t="s">
        <v>7</v>
      </c>
      <c r="E11" s="267"/>
      <c r="F11" s="267"/>
      <c r="G11" s="267"/>
      <c r="H11" s="286" t="s">
        <v>57</v>
      </c>
      <c r="I11" s="299"/>
      <c r="J11" s="309"/>
      <c r="K11" s="309"/>
    </row>
    <row r="12" spans="3:13" ht="15" customHeight="1" x14ac:dyDescent="0.35">
      <c r="C12" s="38" t="s">
        <v>8</v>
      </c>
      <c r="D12" s="267" t="s">
        <v>9</v>
      </c>
      <c r="E12" s="267"/>
      <c r="F12" s="267"/>
      <c r="G12" s="267"/>
      <c r="H12" s="286">
        <v>2024</v>
      </c>
      <c r="I12" s="299"/>
      <c r="J12" s="309"/>
      <c r="K12" s="309"/>
    </row>
    <row r="13" spans="3:13" ht="15" customHeight="1" x14ac:dyDescent="0.35">
      <c r="C13" s="154" t="s">
        <v>10</v>
      </c>
      <c r="D13" s="267" t="s">
        <v>13</v>
      </c>
      <c r="E13" s="267"/>
      <c r="F13" s="267"/>
      <c r="G13" s="267"/>
      <c r="H13" s="286">
        <v>12</v>
      </c>
      <c r="I13" s="299"/>
      <c r="J13" s="309"/>
      <c r="K13" s="309"/>
    </row>
    <row r="15" spans="3:13" ht="15" customHeight="1" x14ac:dyDescent="0.35">
      <c r="C15" s="277" t="s">
        <v>14</v>
      </c>
      <c r="D15" s="277"/>
      <c r="E15" s="277"/>
      <c r="F15" s="277"/>
      <c r="G15" s="277"/>
      <c r="H15" s="277"/>
      <c r="I15" s="277"/>
    </row>
    <row r="16" spans="3:13" ht="30" customHeight="1" x14ac:dyDescent="0.35">
      <c r="C16" s="268" t="s">
        <v>15</v>
      </c>
      <c r="D16" s="269"/>
      <c r="E16" s="270"/>
      <c r="F16" s="279" t="s">
        <v>38</v>
      </c>
      <c r="G16" s="279"/>
      <c r="H16" s="279" t="s">
        <v>136</v>
      </c>
      <c r="I16" s="268"/>
      <c r="J16" s="310"/>
      <c r="K16" s="310"/>
    </row>
    <row r="17" spans="3:12" ht="29.25" customHeight="1" x14ac:dyDescent="0.35">
      <c r="C17" s="288" t="s">
        <v>139</v>
      </c>
      <c r="D17" s="289"/>
      <c r="E17" s="290"/>
      <c r="F17" s="292" t="s">
        <v>53</v>
      </c>
      <c r="G17" s="292"/>
      <c r="H17" s="292">
        <v>2</v>
      </c>
      <c r="I17" s="293"/>
      <c r="J17" s="304"/>
      <c r="K17" s="304"/>
    </row>
    <row r="19" spans="3:12" ht="15" customHeight="1" x14ac:dyDescent="0.35">
      <c r="C19" s="265" t="s">
        <v>39</v>
      </c>
      <c r="D19" s="265"/>
      <c r="E19" s="265"/>
      <c r="F19" s="265"/>
      <c r="G19" s="265"/>
      <c r="H19" s="265"/>
      <c r="I19" s="265"/>
    </row>
    <row r="20" spans="3:12" ht="15" customHeight="1" x14ac:dyDescent="0.35">
      <c r="C20" s="265" t="s">
        <v>40</v>
      </c>
      <c r="D20" s="265"/>
      <c r="E20" s="265"/>
      <c r="F20" s="265"/>
      <c r="G20" s="265"/>
      <c r="H20" s="265"/>
      <c r="I20" s="265"/>
    </row>
    <row r="21" spans="3:12" ht="15" customHeight="1" x14ac:dyDescent="0.35">
      <c r="C21" s="286" t="s">
        <v>16</v>
      </c>
      <c r="D21" s="286"/>
      <c r="E21" s="286"/>
      <c r="F21" s="286"/>
      <c r="G21" s="286"/>
      <c r="H21" s="286"/>
      <c r="I21" s="286"/>
    </row>
    <row r="22" spans="3:12" ht="15" customHeight="1" x14ac:dyDescent="0.35">
      <c r="C22" s="38">
        <v>1</v>
      </c>
      <c r="D22" s="264" t="s">
        <v>41</v>
      </c>
      <c r="E22" s="264"/>
      <c r="F22" s="264"/>
      <c r="G22" s="264"/>
      <c r="H22" s="286" t="s">
        <v>147</v>
      </c>
      <c r="I22" s="286"/>
      <c r="J22" s="302" t="s">
        <v>147</v>
      </c>
      <c r="K22" s="302"/>
    </row>
    <row r="23" spans="3:12" ht="15" customHeight="1" x14ac:dyDescent="0.35">
      <c r="C23" s="38">
        <v>2</v>
      </c>
      <c r="D23" s="264" t="s">
        <v>65</v>
      </c>
      <c r="E23" s="264"/>
      <c r="F23" s="264"/>
      <c r="G23" s="264"/>
      <c r="H23" s="286" t="s">
        <v>116</v>
      </c>
      <c r="I23" s="286"/>
      <c r="J23" s="302" t="s">
        <v>116</v>
      </c>
      <c r="K23" s="302"/>
    </row>
    <row r="24" spans="3:12" ht="15" customHeight="1" x14ac:dyDescent="0.35">
      <c r="C24" s="38">
        <v>3</v>
      </c>
      <c r="D24" s="264" t="s">
        <v>42</v>
      </c>
      <c r="E24" s="264"/>
      <c r="F24" s="264"/>
      <c r="G24" s="264"/>
      <c r="H24" s="291">
        <v>2723.41</v>
      </c>
      <c r="I24" s="291"/>
      <c r="J24" s="305">
        <f>H24*1.05</f>
        <v>2859.5805</v>
      </c>
      <c r="K24" s="305"/>
    </row>
    <row r="25" spans="3:12" ht="15" customHeight="1" x14ac:dyDescent="0.35">
      <c r="C25" s="38">
        <v>4</v>
      </c>
      <c r="D25" s="264" t="s">
        <v>43</v>
      </c>
      <c r="E25" s="264"/>
      <c r="F25" s="264"/>
      <c r="G25" s="264"/>
      <c r="H25" s="286" t="s">
        <v>144</v>
      </c>
      <c r="I25" s="286"/>
      <c r="J25" s="302" t="s">
        <v>144</v>
      </c>
      <c r="K25" s="302"/>
    </row>
    <row r="26" spans="3:12" ht="15" customHeight="1" x14ac:dyDescent="0.35">
      <c r="C26" s="38">
        <v>5</v>
      </c>
      <c r="D26" s="264" t="s">
        <v>44</v>
      </c>
      <c r="E26" s="264"/>
      <c r="F26" s="264"/>
      <c r="G26" s="264"/>
      <c r="H26" s="286" t="s">
        <v>151</v>
      </c>
      <c r="I26" s="286"/>
      <c r="J26" s="302" t="s">
        <v>151</v>
      </c>
      <c r="K26" s="302"/>
    </row>
    <row r="28" spans="3:12" ht="15" customHeight="1" x14ac:dyDescent="0.35">
      <c r="C28" s="277" t="s">
        <v>17</v>
      </c>
      <c r="D28" s="277"/>
      <c r="E28" s="277"/>
      <c r="F28" s="277"/>
      <c r="G28" s="277"/>
      <c r="H28" s="277"/>
      <c r="I28" s="277"/>
    </row>
    <row r="29" spans="3:12" s="152" customFormat="1" ht="15" customHeight="1" x14ac:dyDescent="0.35">
      <c r="C29" s="153">
        <v>1</v>
      </c>
      <c r="D29" s="278" t="s">
        <v>18</v>
      </c>
      <c r="E29" s="278"/>
      <c r="F29" s="278"/>
      <c r="G29" s="278"/>
      <c r="H29" s="278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6" t="s">
        <v>45</v>
      </c>
      <c r="E30" s="276"/>
      <c r="F30" s="276"/>
      <c r="G30" s="276"/>
      <c r="H30" s="276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6" t="s">
        <v>46</v>
      </c>
      <c r="E31" s="276"/>
      <c r="F31" s="276"/>
      <c r="G31" s="276"/>
      <c r="H31" s="276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6" t="s">
        <v>47</v>
      </c>
      <c r="E32" s="276"/>
      <c r="F32" s="276"/>
      <c r="G32" s="276"/>
      <c r="H32" s="276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6" t="s">
        <v>48</v>
      </c>
      <c r="E33" s="276"/>
      <c r="F33" s="276"/>
      <c r="G33" s="276"/>
      <c r="H33" s="276"/>
      <c r="I33" s="2">
        <f>ROUND((I30+I31)/220*0.2*7*15,2)</f>
        <v>337.95</v>
      </c>
      <c r="K33" s="175">
        <f>ROUND((K30+K31)/220*0.2*7*15,2)</f>
        <v>354.85</v>
      </c>
    </row>
    <row r="34" spans="3:12" ht="15" customHeight="1" x14ac:dyDescent="0.35">
      <c r="C34" s="154" t="s">
        <v>11</v>
      </c>
      <c r="D34" s="276" t="s">
        <v>66</v>
      </c>
      <c r="E34" s="276"/>
      <c r="F34" s="276"/>
      <c r="G34" s="276"/>
      <c r="H34" s="276"/>
      <c r="I34" s="2">
        <f>ROUND((I30+I31)/220*0.2*1*15,2)</f>
        <v>48.28</v>
      </c>
      <c r="K34" s="175">
        <f>ROUND((K30+K31)/220*0.2*1*15,2)</f>
        <v>50.69</v>
      </c>
    </row>
    <row r="35" spans="3:12" ht="15" customHeight="1" x14ac:dyDescent="0.35">
      <c r="C35" s="154" t="s">
        <v>12</v>
      </c>
      <c r="D35" s="276" t="s">
        <v>67</v>
      </c>
      <c r="E35" s="276"/>
      <c r="F35" s="276"/>
      <c r="G35" s="276"/>
      <c r="H35" s="276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6" t="s">
        <v>49</v>
      </c>
      <c r="E36" s="276"/>
      <c r="F36" s="276"/>
      <c r="G36" s="276"/>
      <c r="H36" s="276"/>
      <c r="I36" s="2">
        <v>0</v>
      </c>
      <c r="K36" s="175">
        <v>0</v>
      </c>
    </row>
    <row r="37" spans="3:12" s="152" customFormat="1" ht="15" customHeight="1" x14ac:dyDescent="0.35">
      <c r="C37" s="283" t="s">
        <v>21</v>
      </c>
      <c r="D37" s="284"/>
      <c r="E37" s="284"/>
      <c r="F37" s="284"/>
      <c r="G37" s="284"/>
      <c r="H37" s="285"/>
      <c r="I37" s="6">
        <f>ROUND(SUM(I30:I36),2)</f>
        <v>3926.66</v>
      </c>
      <c r="J37" s="176"/>
      <c r="K37" s="177">
        <f>ROUND(SUM(K30:K36),2)</f>
        <v>4122.99</v>
      </c>
      <c r="L37" s="5"/>
    </row>
    <row r="39" spans="3:12" ht="15" customHeight="1" x14ac:dyDescent="0.35">
      <c r="C39" s="272" t="s">
        <v>68</v>
      </c>
      <c r="D39" s="272"/>
      <c r="E39" s="272"/>
      <c r="F39" s="272"/>
      <c r="G39" s="272"/>
      <c r="H39" s="272"/>
      <c r="I39" s="272"/>
    </row>
    <row r="40" spans="3:12" ht="15" customHeight="1" x14ac:dyDescent="0.35">
      <c r="C40" s="277" t="s">
        <v>69</v>
      </c>
      <c r="D40" s="277"/>
      <c r="E40" s="277"/>
      <c r="F40" s="277"/>
      <c r="G40" s="277"/>
      <c r="H40" s="277"/>
      <c r="I40" s="277"/>
    </row>
    <row r="41" spans="3:12" ht="15" customHeight="1" x14ac:dyDescent="0.35">
      <c r="C41" s="153" t="s">
        <v>70</v>
      </c>
      <c r="D41" s="279" t="s">
        <v>63</v>
      </c>
      <c r="E41" s="279"/>
      <c r="F41" s="279"/>
      <c r="G41" s="279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6" t="s">
        <v>71</v>
      </c>
      <c r="E42" s="276"/>
      <c r="F42" s="276"/>
      <c r="G42" s="276"/>
      <c r="H42" s="7">
        <v>8.3299999999999999E-2</v>
      </c>
      <c r="I42" s="2">
        <f>ROUND(I$37*H42,2)</f>
        <v>327.08999999999997</v>
      </c>
      <c r="J42" s="178">
        <v>8.3299999999999999E-2</v>
      </c>
      <c r="K42" s="175">
        <f>ROUND(K$37*J42,2)</f>
        <v>343.45</v>
      </c>
    </row>
    <row r="43" spans="3:12" ht="15" customHeight="1" x14ac:dyDescent="0.35">
      <c r="C43" s="38" t="s">
        <v>6</v>
      </c>
      <c r="D43" s="276" t="s">
        <v>72</v>
      </c>
      <c r="E43" s="276"/>
      <c r="F43" s="276"/>
      <c r="G43" s="276"/>
      <c r="H43" s="7">
        <v>0.121</v>
      </c>
      <c r="I43" s="2">
        <f>ROUND(I$37*H43,2)</f>
        <v>475.13</v>
      </c>
      <c r="J43" s="178">
        <v>0.121</v>
      </c>
      <c r="K43" s="175">
        <f>ROUND(K$37*J43,2)</f>
        <v>498.88</v>
      </c>
    </row>
    <row r="44" spans="3:12" ht="15" customHeight="1" x14ac:dyDescent="0.35">
      <c r="C44" s="268" t="s">
        <v>73</v>
      </c>
      <c r="D44" s="269"/>
      <c r="E44" s="269"/>
      <c r="F44" s="269"/>
      <c r="G44" s="270"/>
      <c r="H44" s="8">
        <f>SUM(H42:H43)</f>
        <v>0.20429999999999998</v>
      </c>
      <c r="I44" s="9">
        <f>SUM(I42:I43)</f>
        <v>802.22</v>
      </c>
      <c r="J44" s="179">
        <f>SUM(J42:J43)</f>
        <v>0.20429999999999998</v>
      </c>
      <c r="K44" s="180">
        <f>SUM(K42:K43)</f>
        <v>842.32999999999993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72" t="s">
        <v>74</v>
      </c>
      <c r="D46" s="272"/>
      <c r="E46" s="272"/>
      <c r="F46" s="272"/>
      <c r="G46" s="272"/>
      <c r="H46" s="272"/>
      <c r="I46" s="272"/>
    </row>
    <row r="47" spans="3:12" s="152" customFormat="1" ht="15" customHeight="1" x14ac:dyDescent="0.35">
      <c r="C47" s="153" t="s">
        <v>75</v>
      </c>
      <c r="D47" s="279" t="s">
        <v>76</v>
      </c>
      <c r="E47" s="279"/>
      <c r="F47" s="279"/>
      <c r="G47" s="279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6" t="s">
        <v>25</v>
      </c>
      <c r="E48" s="276"/>
      <c r="F48" s="276"/>
      <c r="G48" s="276"/>
      <c r="H48" s="7">
        <v>0.2</v>
      </c>
      <c r="I48" s="2">
        <f t="shared" ref="I48:I55" si="0">ROUND(H48*($I$37+$I$44),2)</f>
        <v>945.78</v>
      </c>
      <c r="J48" s="178">
        <v>0.2</v>
      </c>
      <c r="K48" s="175">
        <f>ROUND(J48*($K$37+$K$44),2)</f>
        <v>993.06</v>
      </c>
    </row>
    <row r="49" spans="3:11" ht="15" customHeight="1" x14ac:dyDescent="0.35">
      <c r="C49" s="38" t="s">
        <v>6</v>
      </c>
      <c r="D49" s="276" t="s">
        <v>27</v>
      </c>
      <c r="E49" s="276"/>
      <c r="F49" s="276"/>
      <c r="G49" s="276"/>
      <c r="H49" s="7">
        <v>2.5000000000000001E-2</v>
      </c>
      <c r="I49" s="2">
        <f t="shared" si="0"/>
        <v>118.22</v>
      </c>
      <c r="J49" s="178">
        <v>2.5000000000000001E-2</v>
      </c>
      <c r="K49" s="175">
        <f t="shared" ref="K49:K55" si="1">ROUND(J49*($K$37+$K$44),2)</f>
        <v>124.13</v>
      </c>
    </row>
    <row r="50" spans="3:11" ht="15" customHeight="1" x14ac:dyDescent="0.35">
      <c r="C50" s="38" t="s">
        <v>8</v>
      </c>
      <c r="D50" s="276" t="s">
        <v>149</v>
      </c>
      <c r="E50" s="276"/>
      <c r="F50" s="276"/>
      <c r="G50" s="276"/>
      <c r="H50" s="7">
        <f>ROUND(3%*1.111,4)</f>
        <v>3.3300000000000003E-2</v>
      </c>
      <c r="I50" s="2">
        <f t="shared" si="0"/>
        <v>157.47</v>
      </c>
      <c r="J50" s="178">
        <f>ROUND(3%*1.111,4)</f>
        <v>3.3300000000000003E-2</v>
      </c>
      <c r="K50" s="175">
        <f t="shared" si="1"/>
        <v>165.35</v>
      </c>
    </row>
    <row r="51" spans="3:11" ht="15" customHeight="1" x14ac:dyDescent="0.35">
      <c r="C51" s="38" t="s">
        <v>10</v>
      </c>
      <c r="D51" s="276" t="s">
        <v>77</v>
      </c>
      <c r="E51" s="276"/>
      <c r="F51" s="276"/>
      <c r="G51" s="276"/>
      <c r="H51" s="7">
        <v>1.4999999999999999E-2</v>
      </c>
      <c r="I51" s="2">
        <f t="shared" si="0"/>
        <v>70.930000000000007</v>
      </c>
      <c r="J51" s="178">
        <v>1.4999999999999999E-2</v>
      </c>
      <c r="K51" s="175">
        <f t="shared" si="1"/>
        <v>74.48</v>
      </c>
    </row>
    <row r="52" spans="3:11" ht="15" customHeight="1" x14ac:dyDescent="0.35">
      <c r="C52" s="38" t="s">
        <v>11</v>
      </c>
      <c r="D52" s="276" t="s">
        <v>78</v>
      </c>
      <c r="E52" s="276"/>
      <c r="F52" s="276"/>
      <c r="G52" s="276"/>
      <c r="H52" s="7">
        <v>0.01</v>
      </c>
      <c r="I52" s="2">
        <f t="shared" si="0"/>
        <v>47.29</v>
      </c>
      <c r="J52" s="178">
        <v>0.01</v>
      </c>
      <c r="K52" s="175">
        <f t="shared" si="1"/>
        <v>49.65</v>
      </c>
    </row>
    <row r="53" spans="3:11" ht="15" customHeight="1" x14ac:dyDescent="0.35">
      <c r="C53" s="38" t="s">
        <v>12</v>
      </c>
      <c r="D53" s="276" t="s">
        <v>31</v>
      </c>
      <c r="E53" s="276"/>
      <c r="F53" s="276"/>
      <c r="G53" s="276"/>
      <c r="H53" s="7">
        <v>6.0000000000000001E-3</v>
      </c>
      <c r="I53" s="2">
        <f t="shared" si="0"/>
        <v>28.37</v>
      </c>
      <c r="J53" s="178">
        <v>6.0000000000000001E-3</v>
      </c>
      <c r="K53" s="175">
        <f t="shared" si="1"/>
        <v>29.79</v>
      </c>
    </row>
    <row r="54" spans="3:11" ht="15" customHeight="1" x14ac:dyDescent="0.35">
      <c r="C54" s="38" t="s">
        <v>29</v>
      </c>
      <c r="D54" s="276" t="s">
        <v>26</v>
      </c>
      <c r="E54" s="276"/>
      <c r="F54" s="276"/>
      <c r="G54" s="276"/>
      <c r="H54" s="7">
        <v>2E-3</v>
      </c>
      <c r="I54" s="2">
        <f t="shared" si="0"/>
        <v>9.4600000000000009</v>
      </c>
      <c r="J54" s="178">
        <v>2E-3</v>
      </c>
      <c r="K54" s="175">
        <f t="shared" si="1"/>
        <v>9.93</v>
      </c>
    </row>
    <row r="55" spans="3:11" ht="15" customHeight="1" x14ac:dyDescent="0.35">
      <c r="C55" s="38" t="s">
        <v>30</v>
      </c>
      <c r="D55" s="276" t="s">
        <v>28</v>
      </c>
      <c r="E55" s="276"/>
      <c r="F55" s="276"/>
      <c r="G55" s="276"/>
      <c r="H55" s="7">
        <v>0.08</v>
      </c>
      <c r="I55" s="2">
        <f t="shared" si="0"/>
        <v>378.31</v>
      </c>
      <c r="J55" s="178">
        <v>0.08</v>
      </c>
      <c r="K55" s="175">
        <f t="shared" si="1"/>
        <v>397.23</v>
      </c>
    </row>
    <row r="56" spans="3:11" ht="15" customHeight="1" x14ac:dyDescent="0.35">
      <c r="C56" s="279" t="s">
        <v>73</v>
      </c>
      <c r="D56" s="279"/>
      <c r="E56" s="279"/>
      <c r="F56" s="279"/>
      <c r="G56" s="279"/>
      <c r="H56" s="10">
        <f>ROUND(SUM(H48:H55),4)</f>
        <v>0.37130000000000002</v>
      </c>
      <c r="I56" s="9">
        <f>ROUND(SUM(I48:I55),4)</f>
        <v>1755.83</v>
      </c>
      <c r="J56" s="181">
        <f>ROUND(SUM(J48:J55),4)</f>
        <v>0.37130000000000002</v>
      </c>
      <c r="K56" s="180">
        <f>ROUND(SUM(K48:K55),4)</f>
        <v>1843.62</v>
      </c>
    </row>
    <row r="58" spans="3:11" ht="15" customHeight="1" x14ac:dyDescent="0.35">
      <c r="C58" s="287" t="s">
        <v>79</v>
      </c>
      <c r="D58" s="287"/>
      <c r="E58" s="287"/>
      <c r="F58" s="287"/>
      <c r="G58" s="287"/>
      <c r="H58" s="287"/>
      <c r="I58" s="287"/>
    </row>
    <row r="59" spans="3:11" ht="15" customHeight="1" x14ac:dyDescent="0.35">
      <c r="C59" s="153" t="s">
        <v>80</v>
      </c>
      <c r="D59" s="278" t="s">
        <v>22</v>
      </c>
      <c r="E59" s="278"/>
      <c r="F59" s="278"/>
      <c r="G59" s="278"/>
      <c r="H59" s="278"/>
      <c r="I59" s="153" t="s">
        <v>20</v>
      </c>
      <c r="K59" s="174" t="s">
        <v>20</v>
      </c>
    </row>
    <row r="60" spans="3:11" ht="15" customHeight="1" x14ac:dyDescent="0.35">
      <c r="C60" s="286" t="s">
        <v>4</v>
      </c>
      <c r="D60" s="264" t="s">
        <v>56</v>
      </c>
      <c r="E60" s="264"/>
      <c r="F60" s="264"/>
      <c r="G60" s="264"/>
      <c r="H60" s="264"/>
      <c r="I60" s="1">
        <f>ROUND(11*15,2)</f>
        <v>165</v>
      </c>
      <c r="K60" s="182">
        <f>ROUND(11*15,2)</f>
        <v>165</v>
      </c>
    </row>
    <row r="61" spans="3:11" ht="15" customHeight="1" x14ac:dyDescent="0.35">
      <c r="C61" s="286"/>
      <c r="D61" s="264" t="s">
        <v>64</v>
      </c>
      <c r="E61" s="264"/>
      <c r="F61" s="264"/>
      <c r="G61" s="264"/>
      <c r="H61" s="264"/>
      <c r="I61" s="1">
        <f>ROUND(IF((I30*-6%)&lt;=(-I60),-I60,(I30*-6%)),2)</f>
        <v>-163.4</v>
      </c>
      <c r="K61" s="182">
        <f>ROUND(IF((K30*-6%)&lt;=(-K60),-K60,(K30*-6%)),2)</f>
        <v>-165</v>
      </c>
    </row>
    <row r="62" spans="3:11" ht="15" customHeight="1" x14ac:dyDescent="0.35">
      <c r="C62" s="38" t="s">
        <v>6</v>
      </c>
      <c r="D62" s="264" t="s">
        <v>220</v>
      </c>
      <c r="E62" s="264"/>
      <c r="F62" s="264"/>
      <c r="G62" s="264"/>
      <c r="H62" s="264"/>
      <c r="I62" s="2">
        <f>46.42*15</f>
        <v>696.30000000000007</v>
      </c>
      <c r="K62" s="175">
        <f>49.63*15</f>
        <v>744.45</v>
      </c>
    </row>
    <row r="63" spans="3:11" ht="15" customHeight="1" x14ac:dyDescent="0.35">
      <c r="C63" s="38" t="s">
        <v>8</v>
      </c>
      <c r="D63" s="264" t="s">
        <v>117</v>
      </c>
      <c r="E63" s="264"/>
      <c r="F63" s="264"/>
      <c r="G63" s="264"/>
      <c r="H63" s="264"/>
      <c r="I63" s="2">
        <v>0</v>
      </c>
      <c r="K63" s="175">
        <v>0</v>
      </c>
    </row>
    <row r="64" spans="3:11" ht="15" customHeight="1" x14ac:dyDescent="0.35">
      <c r="C64" s="38" t="s">
        <v>10</v>
      </c>
      <c r="D64" s="264" t="s">
        <v>104</v>
      </c>
      <c r="E64" s="264"/>
      <c r="F64" s="264"/>
      <c r="G64" s="264"/>
      <c r="H64" s="264"/>
      <c r="I64" s="2">
        <v>22.93</v>
      </c>
      <c r="K64" s="175">
        <v>22.93</v>
      </c>
    </row>
    <row r="65" spans="3:12" ht="15" customHeight="1" x14ac:dyDescent="0.35">
      <c r="C65" s="38" t="s">
        <v>11</v>
      </c>
      <c r="D65" s="264" t="s">
        <v>118</v>
      </c>
      <c r="E65" s="264"/>
      <c r="F65" s="264"/>
      <c r="G65" s="264"/>
      <c r="H65" s="264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64" t="s">
        <v>322</v>
      </c>
      <c r="E66" s="264"/>
      <c r="F66" s="264"/>
      <c r="G66" s="264"/>
      <c r="H66" s="264"/>
      <c r="I66" s="2">
        <v>0</v>
      </c>
      <c r="K66" s="175">
        <v>25</v>
      </c>
    </row>
    <row r="67" spans="3:12" ht="15" customHeight="1" x14ac:dyDescent="0.35">
      <c r="C67" s="279" t="s">
        <v>73</v>
      </c>
      <c r="D67" s="279"/>
      <c r="E67" s="279"/>
      <c r="F67" s="279"/>
      <c r="G67" s="279"/>
      <c r="H67" s="279"/>
      <c r="I67" s="6">
        <f>ROUND(SUM(I60:I66),2)</f>
        <v>720.83</v>
      </c>
      <c r="K67" s="177">
        <f>ROUND(SUM(K60:K66),2)</f>
        <v>792.38</v>
      </c>
    </row>
    <row r="68" spans="3:12" ht="15" customHeight="1" x14ac:dyDescent="0.35">
      <c r="D68" s="36"/>
    </row>
    <row r="69" spans="3:12" ht="15" customHeight="1" x14ac:dyDescent="0.35">
      <c r="C69" s="277" t="s">
        <v>81</v>
      </c>
      <c r="D69" s="277"/>
      <c r="E69" s="277"/>
      <c r="F69" s="277"/>
      <c r="G69" s="277"/>
      <c r="H69" s="277"/>
      <c r="I69" s="277"/>
    </row>
    <row r="70" spans="3:12" ht="15" customHeight="1" x14ac:dyDescent="0.35">
      <c r="C70" s="153">
        <v>2</v>
      </c>
      <c r="D70" s="279" t="s">
        <v>34</v>
      </c>
      <c r="E70" s="279"/>
      <c r="F70" s="279"/>
      <c r="G70" s="279"/>
      <c r="H70" s="279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6" t="s">
        <v>82</v>
      </c>
      <c r="E71" s="276"/>
      <c r="F71" s="276"/>
      <c r="G71" s="276"/>
      <c r="H71" s="7">
        <f>H44</f>
        <v>0.20429999999999998</v>
      </c>
      <c r="I71" s="11">
        <f>ROUND(I44,2)</f>
        <v>802.22</v>
      </c>
      <c r="J71" s="178">
        <f>J44</f>
        <v>0.20429999999999998</v>
      </c>
      <c r="K71" s="183">
        <f>ROUND(K44,2)</f>
        <v>842.33</v>
      </c>
    </row>
    <row r="72" spans="3:12" ht="15" customHeight="1" x14ac:dyDescent="0.35">
      <c r="C72" s="154" t="s">
        <v>75</v>
      </c>
      <c r="D72" s="276" t="s">
        <v>76</v>
      </c>
      <c r="E72" s="276"/>
      <c r="F72" s="276"/>
      <c r="G72" s="276"/>
      <c r="H72" s="7">
        <f>H56</f>
        <v>0.37130000000000002</v>
      </c>
      <c r="I72" s="11">
        <f>ROUND(I56,2)</f>
        <v>1755.83</v>
      </c>
      <c r="J72" s="178">
        <f>J56</f>
        <v>0.37130000000000002</v>
      </c>
      <c r="K72" s="183">
        <f>ROUND(K56,2)</f>
        <v>1843.62</v>
      </c>
    </row>
    <row r="73" spans="3:12" ht="15" customHeight="1" x14ac:dyDescent="0.35">
      <c r="C73" s="154" t="s">
        <v>80</v>
      </c>
      <c r="D73" s="273" t="s">
        <v>22</v>
      </c>
      <c r="E73" s="274"/>
      <c r="F73" s="274"/>
      <c r="G73" s="274"/>
      <c r="H73" s="275"/>
      <c r="I73" s="11">
        <f>ROUND(I67,2)</f>
        <v>720.83</v>
      </c>
      <c r="K73" s="183">
        <f>ROUND(K67,2)</f>
        <v>792.38</v>
      </c>
    </row>
    <row r="74" spans="3:12" ht="15" customHeight="1" x14ac:dyDescent="0.35">
      <c r="C74" s="279" t="s">
        <v>35</v>
      </c>
      <c r="D74" s="279"/>
      <c r="E74" s="279"/>
      <c r="F74" s="279"/>
      <c r="G74" s="279"/>
      <c r="H74" s="10">
        <f>ROUND(SUM(H71:H73),4)</f>
        <v>0.5756</v>
      </c>
      <c r="I74" s="9">
        <f>ROUND(SUM(I71:I73),2)</f>
        <v>3278.88</v>
      </c>
      <c r="J74" s="181">
        <f>ROUND(SUM(J71:J73),4)</f>
        <v>0.5756</v>
      </c>
      <c r="K74" s="180">
        <f>ROUND(SUM(K71:K73),2)</f>
        <v>3478.33</v>
      </c>
    </row>
    <row r="75" spans="3:12" ht="15" customHeight="1" x14ac:dyDescent="0.35">
      <c r="D75" s="36"/>
    </row>
    <row r="76" spans="3:12" ht="15" customHeight="1" x14ac:dyDescent="0.35">
      <c r="C76" s="277" t="s">
        <v>83</v>
      </c>
      <c r="D76" s="277"/>
      <c r="E76" s="277"/>
      <c r="F76" s="277"/>
      <c r="G76" s="277"/>
      <c r="H76" s="277"/>
      <c r="I76" s="277"/>
    </row>
    <row r="77" spans="3:12" ht="15" customHeight="1" x14ac:dyDescent="0.35">
      <c r="C77" s="153">
        <v>3</v>
      </c>
      <c r="D77" s="279" t="s">
        <v>33</v>
      </c>
      <c r="E77" s="279"/>
      <c r="F77" s="279"/>
      <c r="G77" s="279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6" t="s">
        <v>84</v>
      </c>
      <c r="E78" s="276"/>
      <c r="F78" s="276"/>
      <c r="G78" s="276"/>
      <c r="H78" s="7">
        <v>2.0000000000000001E-4</v>
      </c>
      <c r="I78" s="2">
        <f t="shared" ref="I78:I83" si="2">ROUND(I$37*H78,2)</f>
        <v>0.79</v>
      </c>
      <c r="J78" s="178">
        <v>2.0000000000000001E-4</v>
      </c>
      <c r="K78" s="175">
        <f t="shared" ref="K78:K83" si="3">ROUND(K$37*J78,2)</f>
        <v>0.82</v>
      </c>
    </row>
    <row r="79" spans="3:12" s="12" customFormat="1" ht="15" customHeight="1" x14ac:dyDescent="0.35">
      <c r="C79" s="154" t="s">
        <v>6</v>
      </c>
      <c r="D79" s="276" t="s">
        <v>55</v>
      </c>
      <c r="E79" s="276"/>
      <c r="F79" s="276"/>
      <c r="G79" s="276"/>
      <c r="H79" s="40">
        <f>ROUND(H78*H55,5)</f>
        <v>2.0000000000000002E-5</v>
      </c>
      <c r="I79" s="2">
        <f t="shared" si="2"/>
        <v>0.08</v>
      </c>
      <c r="J79" s="184">
        <f>ROUND(J78*J55,5)</f>
        <v>2.0000000000000002E-5</v>
      </c>
      <c r="K79" s="175">
        <f t="shared" si="3"/>
        <v>0.08</v>
      </c>
      <c r="L79" s="13"/>
    </row>
    <row r="80" spans="3:12" s="12" customFormat="1" ht="15" customHeight="1" x14ac:dyDescent="0.35">
      <c r="C80" s="154" t="s">
        <v>8</v>
      </c>
      <c r="D80" s="276" t="s">
        <v>85</v>
      </c>
      <c r="E80" s="276"/>
      <c r="F80" s="276"/>
      <c r="G80" s="276"/>
      <c r="H80" s="7">
        <v>3.9899999999999998E-2</v>
      </c>
      <c r="I80" s="2">
        <f t="shared" si="2"/>
        <v>156.66999999999999</v>
      </c>
      <c r="J80" s="178">
        <v>3.9899999999999998E-2</v>
      </c>
      <c r="K80" s="175">
        <f t="shared" si="3"/>
        <v>164.51</v>
      </c>
      <c r="L80" s="13"/>
    </row>
    <row r="81" spans="3:12" s="12" customFormat="1" ht="15" customHeight="1" x14ac:dyDescent="0.35">
      <c r="C81" s="154" t="s">
        <v>10</v>
      </c>
      <c r="D81" s="276" t="s">
        <v>86</v>
      </c>
      <c r="E81" s="276"/>
      <c r="F81" s="276"/>
      <c r="G81" s="276"/>
      <c r="H81" s="7">
        <v>2.0000000000000001E-4</v>
      </c>
      <c r="I81" s="2">
        <f t="shared" si="2"/>
        <v>0.79</v>
      </c>
      <c r="J81" s="178">
        <v>2.0000000000000001E-4</v>
      </c>
      <c r="K81" s="175">
        <f t="shared" si="3"/>
        <v>0.82</v>
      </c>
      <c r="L81" s="13"/>
    </row>
    <row r="82" spans="3:12" s="12" customFormat="1" ht="15" customHeight="1" x14ac:dyDescent="0.35">
      <c r="C82" s="154" t="s">
        <v>11</v>
      </c>
      <c r="D82" s="276" t="s">
        <v>87</v>
      </c>
      <c r="E82" s="276"/>
      <c r="F82" s="276"/>
      <c r="G82" s="276"/>
      <c r="H82" s="40">
        <f>ROUND(H81*H56,5)</f>
        <v>6.9999999999999994E-5</v>
      </c>
      <c r="I82" s="2">
        <f t="shared" si="2"/>
        <v>0.27</v>
      </c>
      <c r="J82" s="184">
        <f>ROUND(J81*J56,5)</f>
        <v>6.9999999999999994E-5</v>
      </c>
      <c r="K82" s="175">
        <f t="shared" si="3"/>
        <v>0.28999999999999998</v>
      </c>
      <c r="L82" s="13"/>
    </row>
    <row r="83" spans="3:12" s="12" customFormat="1" ht="15" customHeight="1" x14ac:dyDescent="0.35">
      <c r="C83" s="154" t="s">
        <v>12</v>
      </c>
      <c r="D83" s="276" t="s">
        <v>88</v>
      </c>
      <c r="E83" s="276"/>
      <c r="F83" s="276"/>
      <c r="G83" s="276"/>
      <c r="H83" s="7">
        <v>1E-4</v>
      </c>
      <c r="I83" s="2">
        <f t="shared" si="2"/>
        <v>0.39</v>
      </c>
      <c r="J83" s="178">
        <v>1E-4</v>
      </c>
      <c r="K83" s="175">
        <f t="shared" si="3"/>
        <v>0.41</v>
      </c>
      <c r="L83" s="13"/>
    </row>
    <row r="84" spans="3:12" ht="15" customHeight="1" x14ac:dyDescent="0.35">
      <c r="C84" s="268" t="s">
        <v>73</v>
      </c>
      <c r="D84" s="269"/>
      <c r="E84" s="269"/>
      <c r="F84" s="269"/>
      <c r="G84" s="270"/>
      <c r="H84" s="8">
        <f>ROUND(SUM(H78:H83),4)</f>
        <v>4.0500000000000001E-2</v>
      </c>
      <c r="I84" s="9">
        <f>ROUND(SUM(I78:I83),2)</f>
        <v>158.99</v>
      </c>
      <c r="J84" s="179">
        <f>ROUND(SUM(J78:J83),4)</f>
        <v>4.0500000000000001E-2</v>
      </c>
      <c r="K84" s="180">
        <f>ROUND(SUM(K78:K83),2)</f>
        <v>166.93</v>
      </c>
    </row>
    <row r="86" spans="3:12" ht="15" customHeight="1" x14ac:dyDescent="0.35">
      <c r="C86" s="277" t="s">
        <v>89</v>
      </c>
      <c r="D86" s="277"/>
      <c r="E86" s="277"/>
      <c r="F86" s="277"/>
      <c r="G86" s="277"/>
      <c r="H86" s="277"/>
      <c r="I86" s="277"/>
    </row>
    <row r="87" spans="3:12" ht="15" customHeight="1" x14ac:dyDescent="0.35">
      <c r="C87" s="153" t="s">
        <v>24</v>
      </c>
      <c r="D87" s="279" t="s">
        <v>54</v>
      </c>
      <c r="E87" s="279"/>
      <c r="F87" s="279"/>
      <c r="G87" s="279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6" t="s">
        <v>105</v>
      </c>
      <c r="E88" s="276"/>
      <c r="F88" s="276"/>
      <c r="G88" s="276"/>
      <c r="H88" s="7">
        <v>2.9999999999999997E-4</v>
      </c>
      <c r="I88" s="2">
        <f t="shared" ref="I88:I93" si="4">ROUND(I$37*H88,2)</f>
        <v>1.18</v>
      </c>
      <c r="J88" s="178">
        <v>2.9999999999999997E-4</v>
      </c>
      <c r="K88" s="175">
        <f t="shared" ref="K88:K93" si="5">ROUND(K$37*J88,2)</f>
        <v>1.24</v>
      </c>
    </row>
    <row r="89" spans="3:12" ht="15" customHeight="1" x14ac:dyDescent="0.35">
      <c r="C89" s="38" t="s">
        <v>6</v>
      </c>
      <c r="D89" s="276" t="s">
        <v>106</v>
      </c>
      <c r="E89" s="276"/>
      <c r="F89" s="276"/>
      <c r="G89" s="276"/>
      <c r="H89" s="7">
        <v>2.0000000000000001E-4</v>
      </c>
      <c r="I89" s="2">
        <f t="shared" si="4"/>
        <v>0.79</v>
      </c>
      <c r="J89" s="178">
        <v>2.0000000000000001E-4</v>
      </c>
      <c r="K89" s="175">
        <f t="shared" si="5"/>
        <v>0.82</v>
      </c>
    </row>
    <row r="90" spans="3:12" ht="15" customHeight="1" x14ac:dyDescent="0.35">
      <c r="C90" s="38" t="s">
        <v>8</v>
      </c>
      <c r="D90" s="276" t="s">
        <v>107</v>
      </c>
      <c r="E90" s="276"/>
      <c r="F90" s="276"/>
      <c r="G90" s="276"/>
      <c r="H90" s="7">
        <v>1E-4</v>
      </c>
      <c r="I90" s="2">
        <f t="shared" si="4"/>
        <v>0.39</v>
      </c>
      <c r="J90" s="178">
        <v>1E-4</v>
      </c>
      <c r="K90" s="175">
        <f t="shared" si="5"/>
        <v>0.41</v>
      </c>
    </row>
    <row r="91" spans="3:12" ht="15" customHeight="1" x14ac:dyDescent="0.35">
      <c r="C91" s="38" t="s">
        <v>10</v>
      </c>
      <c r="D91" s="276" t="s">
        <v>108</v>
      </c>
      <c r="E91" s="276"/>
      <c r="F91" s="276"/>
      <c r="G91" s="276"/>
      <c r="H91" s="7">
        <v>2.0000000000000001E-4</v>
      </c>
      <c r="I91" s="2">
        <f t="shared" si="4"/>
        <v>0.79</v>
      </c>
      <c r="J91" s="178">
        <v>2.0000000000000001E-4</v>
      </c>
      <c r="K91" s="175">
        <f t="shared" si="5"/>
        <v>0.82</v>
      </c>
    </row>
    <row r="92" spans="3:12" ht="15" customHeight="1" x14ac:dyDescent="0.35">
      <c r="C92" s="38" t="s">
        <v>11</v>
      </c>
      <c r="D92" s="276" t="s">
        <v>109</v>
      </c>
      <c r="E92" s="276"/>
      <c r="F92" s="276"/>
      <c r="G92" s="276"/>
      <c r="H92" s="7">
        <v>1E-4</v>
      </c>
      <c r="I92" s="2">
        <f t="shared" si="4"/>
        <v>0.39</v>
      </c>
      <c r="J92" s="178">
        <v>1E-4</v>
      </c>
      <c r="K92" s="175">
        <f t="shared" si="5"/>
        <v>0.41</v>
      </c>
    </row>
    <row r="93" spans="3:12" ht="15" customHeight="1" x14ac:dyDescent="0.35">
      <c r="C93" s="38" t="s">
        <v>12</v>
      </c>
      <c r="D93" s="276" t="s">
        <v>150</v>
      </c>
      <c r="E93" s="276"/>
      <c r="F93" s="276"/>
      <c r="G93" s="276"/>
      <c r="H93" s="7">
        <v>1E-4</v>
      </c>
      <c r="I93" s="2">
        <f t="shared" si="4"/>
        <v>0.39</v>
      </c>
      <c r="J93" s="178">
        <v>1E-4</v>
      </c>
      <c r="K93" s="175">
        <f t="shared" si="5"/>
        <v>0.41</v>
      </c>
    </row>
    <row r="94" spans="3:12" ht="15" customHeight="1" x14ac:dyDescent="0.35">
      <c r="C94" s="268" t="s">
        <v>73</v>
      </c>
      <c r="D94" s="269"/>
      <c r="E94" s="269"/>
      <c r="F94" s="269"/>
      <c r="G94" s="270"/>
      <c r="H94" s="8">
        <f>SUM(H88:H93)</f>
        <v>1E-3</v>
      </c>
      <c r="I94" s="9">
        <f>SUM(I88:I93)</f>
        <v>3.93</v>
      </c>
      <c r="J94" s="179">
        <f>SUM(J88:J93)</f>
        <v>1E-3</v>
      </c>
      <c r="K94" s="180">
        <f>SUM(K88:K93)</f>
        <v>4.1100000000000003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72" t="s">
        <v>110</v>
      </c>
      <c r="D96" s="272"/>
      <c r="E96" s="272"/>
      <c r="F96" s="272"/>
      <c r="G96" s="272"/>
      <c r="H96" s="272"/>
      <c r="I96" s="272"/>
    </row>
    <row r="97" spans="3:11" ht="15" customHeight="1" x14ac:dyDescent="0.35">
      <c r="C97" s="153" t="s">
        <v>32</v>
      </c>
      <c r="D97" s="268" t="s">
        <v>111</v>
      </c>
      <c r="E97" s="269"/>
      <c r="F97" s="269"/>
      <c r="G97" s="269"/>
      <c r="H97" s="270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73" t="s">
        <v>112</v>
      </c>
      <c r="E98" s="274"/>
      <c r="F98" s="274"/>
      <c r="G98" s="274"/>
      <c r="H98" s="275"/>
      <c r="I98" s="2">
        <f>ROUND((I30+I31)/220*0.5*15,2)</f>
        <v>120.7</v>
      </c>
      <c r="K98" s="175">
        <f>ROUND((K30+K31)/220*1.5*15,2)</f>
        <v>380.19</v>
      </c>
    </row>
    <row r="99" spans="3:11" ht="15" customHeight="1" x14ac:dyDescent="0.35">
      <c r="C99" s="268" t="s">
        <v>73</v>
      </c>
      <c r="D99" s="269"/>
      <c r="E99" s="269"/>
      <c r="F99" s="269"/>
      <c r="G99" s="269"/>
      <c r="H99" s="270"/>
      <c r="I99" s="9">
        <f>ROUND(SUM(I98:I98),2)</f>
        <v>120.7</v>
      </c>
      <c r="K99" s="180">
        <f>ROUND(SUM(K98:K98),2)</f>
        <v>380.19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72" t="s">
        <v>90</v>
      </c>
      <c r="D101" s="272"/>
      <c r="E101" s="272"/>
      <c r="F101" s="272"/>
      <c r="G101" s="272"/>
      <c r="H101" s="272"/>
      <c r="I101" s="272"/>
      <c r="K101" s="187"/>
    </row>
    <row r="102" spans="3:11" ht="15" customHeight="1" x14ac:dyDescent="0.35">
      <c r="C102" s="153">
        <v>4</v>
      </c>
      <c r="D102" s="268" t="s">
        <v>100</v>
      </c>
      <c r="E102" s="269"/>
      <c r="F102" s="269"/>
      <c r="G102" s="269"/>
      <c r="H102" s="270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73" t="s">
        <v>113</v>
      </c>
      <c r="E103" s="274"/>
      <c r="F103" s="274"/>
      <c r="G103" s="274"/>
      <c r="H103" s="275"/>
      <c r="I103" s="2">
        <f>ROUND(I94,2)</f>
        <v>3.93</v>
      </c>
      <c r="K103" s="175">
        <f>ROUND(K94,2)</f>
        <v>4.1100000000000003</v>
      </c>
    </row>
    <row r="104" spans="3:11" ht="15" customHeight="1" x14ac:dyDescent="0.35">
      <c r="C104" s="17" t="s">
        <v>32</v>
      </c>
      <c r="D104" s="273" t="s">
        <v>111</v>
      </c>
      <c r="E104" s="274"/>
      <c r="F104" s="274"/>
      <c r="G104" s="274"/>
      <c r="H104" s="275"/>
      <c r="I104" s="2">
        <f>ROUND(I99,2)</f>
        <v>120.7</v>
      </c>
      <c r="K104" s="175">
        <f>ROUND(K99,2)</f>
        <v>380.19</v>
      </c>
    </row>
    <row r="105" spans="3:11" ht="15" customHeight="1" x14ac:dyDescent="0.35">
      <c r="C105" s="268" t="s">
        <v>73</v>
      </c>
      <c r="D105" s="269"/>
      <c r="E105" s="269"/>
      <c r="F105" s="269"/>
      <c r="G105" s="269"/>
      <c r="H105" s="270"/>
      <c r="I105" s="9">
        <f>ROUND(SUM(I103:I104),2)</f>
        <v>124.63</v>
      </c>
      <c r="K105" s="180">
        <f>ROUND(SUM(K103:K104),2)</f>
        <v>384.3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7" t="s">
        <v>91</v>
      </c>
      <c r="D107" s="277"/>
      <c r="E107" s="277"/>
      <c r="F107" s="277"/>
      <c r="G107" s="277"/>
      <c r="H107" s="277"/>
      <c r="I107" s="277"/>
      <c r="J107" s="187"/>
    </row>
    <row r="108" spans="3:11" ht="15" customHeight="1" x14ac:dyDescent="0.35">
      <c r="C108" s="153">
        <v>5</v>
      </c>
      <c r="D108" s="278" t="s">
        <v>23</v>
      </c>
      <c r="E108" s="278"/>
      <c r="F108" s="278"/>
      <c r="G108" s="278"/>
      <c r="H108" s="278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64" t="s">
        <v>173</v>
      </c>
      <c r="E109" s="264"/>
      <c r="F109" s="264"/>
      <c r="G109" s="264"/>
      <c r="H109" s="264"/>
      <c r="I109" s="2">
        <f>'unif equip'!G33</f>
        <v>118.06</v>
      </c>
      <c r="J109" s="187"/>
      <c r="K109" s="175">
        <f>'unif equip'!G33</f>
        <v>118.06</v>
      </c>
    </row>
    <row r="110" spans="3:11" ht="15" customHeight="1" x14ac:dyDescent="0.35">
      <c r="C110" s="38" t="s">
        <v>6</v>
      </c>
      <c r="D110" s="276" t="s">
        <v>174</v>
      </c>
      <c r="E110" s="264"/>
      <c r="F110" s="264"/>
      <c r="G110" s="264"/>
      <c r="H110" s="264"/>
      <c r="I110" s="2">
        <f>'unif equip'!H86</f>
        <v>7.29</v>
      </c>
      <c r="J110" s="187"/>
      <c r="K110" s="175">
        <f>'unif equip'!H86</f>
        <v>7.29</v>
      </c>
    </row>
    <row r="111" spans="3:11" ht="15" customHeight="1" x14ac:dyDescent="0.35">
      <c r="C111" s="38" t="s">
        <v>8</v>
      </c>
      <c r="D111" s="276" t="s">
        <v>175</v>
      </c>
      <c r="E111" s="264"/>
      <c r="F111" s="264"/>
      <c r="G111" s="264"/>
      <c r="H111" s="264"/>
      <c r="I111" s="2">
        <f>'unif equip'!H54</f>
        <v>29.44</v>
      </c>
      <c r="J111" s="187"/>
      <c r="K111" s="175">
        <f>'unif equip'!H54</f>
        <v>29.44</v>
      </c>
    </row>
    <row r="112" spans="3:11" ht="15" customHeight="1" x14ac:dyDescent="0.35">
      <c r="C112" s="38" t="s">
        <v>10</v>
      </c>
      <c r="D112" s="264" t="s">
        <v>176</v>
      </c>
      <c r="E112" s="264"/>
      <c r="F112" s="264"/>
      <c r="G112" s="264"/>
      <c r="H112" s="264"/>
      <c r="I112" s="2">
        <v>0</v>
      </c>
      <c r="J112" s="187"/>
      <c r="K112" s="175">
        <v>0</v>
      </c>
    </row>
    <row r="113" spans="3:11" ht="15" customHeight="1" x14ac:dyDescent="0.35">
      <c r="C113" s="268" t="s">
        <v>73</v>
      </c>
      <c r="D113" s="269"/>
      <c r="E113" s="269"/>
      <c r="F113" s="269"/>
      <c r="G113" s="269"/>
      <c r="H113" s="270"/>
      <c r="I113" s="6">
        <f>ROUND(SUM(I109:I112),2)</f>
        <v>154.79</v>
      </c>
      <c r="J113" s="187"/>
      <c r="K113" s="177">
        <f>ROUND(SUM(K109:K112),2)</f>
        <v>154.79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65" t="s">
        <v>92</v>
      </c>
      <c r="D115" s="265"/>
      <c r="E115" s="265"/>
      <c r="F115" s="265"/>
      <c r="G115" s="265"/>
      <c r="H115" s="265"/>
      <c r="I115" s="265"/>
    </row>
    <row r="116" spans="3:11" ht="15" customHeight="1" x14ac:dyDescent="0.35">
      <c r="C116" s="39">
        <v>6</v>
      </c>
      <c r="D116" s="271" t="s">
        <v>50</v>
      </c>
      <c r="E116" s="271"/>
      <c r="F116" s="271"/>
      <c r="G116" s="271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67" t="s">
        <v>93</v>
      </c>
      <c r="E117" s="267"/>
      <c r="F117" s="267"/>
      <c r="G117" s="267"/>
      <c r="H117" s="19">
        <v>0.01</v>
      </c>
      <c r="I117" s="20">
        <f>ROUND(H117*SUM($I$113,$I$105,$I$84,$I$74,$I$37),2)</f>
        <v>76.44</v>
      </c>
      <c r="J117" s="190">
        <v>0.01</v>
      </c>
      <c r="K117" s="191">
        <f>ROUND(J117*SUM($K$113,$K$105,$K$84,$K$74,$K$37),2)</f>
        <v>83.07</v>
      </c>
    </row>
    <row r="118" spans="3:11" ht="15" customHeight="1" x14ac:dyDescent="0.35">
      <c r="C118" s="38" t="s">
        <v>6</v>
      </c>
      <c r="D118" s="267" t="s">
        <v>94</v>
      </c>
      <c r="E118" s="267"/>
      <c r="F118" s="267"/>
      <c r="G118" s="267"/>
      <c r="H118" s="19">
        <v>8.0000000000000002E-3</v>
      </c>
      <c r="I118" s="20">
        <f>ROUND(H118*SUM($I$113,$I$105,$I$84,$I$74,$I$37,I117),2)</f>
        <v>61.76</v>
      </c>
      <c r="J118" s="190">
        <v>8.0000000000000002E-3</v>
      </c>
      <c r="K118" s="191">
        <f>ROUND(J118*SUM($K$113,$K$105,$K$84,$K$74,$K$37,K117),2)</f>
        <v>67.12</v>
      </c>
    </row>
    <row r="119" spans="3:11" ht="15" customHeight="1" x14ac:dyDescent="0.35">
      <c r="C119" s="261" t="s">
        <v>8</v>
      </c>
      <c r="D119" s="267" t="s">
        <v>36</v>
      </c>
      <c r="E119" s="267"/>
      <c r="F119" s="267"/>
      <c r="G119" s="267"/>
      <c r="H119" s="19">
        <f>H120+H121+H122</f>
        <v>8.6499999999999994E-2</v>
      </c>
      <c r="I119" s="20">
        <f ca="1">ROUND(SUM(I120,I121,I122),2)</f>
        <v>736.89</v>
      </c>
      <c r="J119" s="190">
        <f>J120+J121+J122</f>
        <v>8.6499999999999994E-2</v>
      </c>
      <c r="K119" s="191">
        <f ca="1">ROUND(SUM(K120,K121,K122),2)</f>
        <v>800.85</v>
      </c>
    </row>
    <row r="120" spans="3:11" ht="15" customHeight="1" x14ac:dyDescent="0.35">
      <c r="C120" s="262"/>
      <c r="D120" s="267" t="s">
        <v>95</v>
      </c>
      <c r="E120" s="267"/>
      <c r="F120" s="267"/>
      <c r="G120" s="267"/>
      <c r="H120" s="19">
        <f>ROUND(3%+0.65%,4)</f>
        <v>3.6499999999999998E-2</v>
      </c>
      <c r="I120" s="20">
        <f ca="1">ROUND(H120*$I$134,2)</f>
        <v>310.94</v>
      </c>
      <c r="J120" s="190">
        <f>ROUND(3%+0.65%,4)</f>
        <v>3.6499999999999998E-2</v>
      </c>
      <c r="K120" s="191">
        <f ca="1">ROUND(J120*$K$134,2)</f>
        <v>337.93</v>
      </c>
    </row>
    <row r="121" spans="3:11" ht="15" customHeight="1" x14ac:dyDescent="0.35">
      <c r="C121" s="262"/>
      <c r="D121" s="267" t="s">
        <v>96</v>
      </c>
      <c r="E121" s="267"/>
      <c r="F121" s="267"/>
      <c r="G121" s="267"/>
      <c r="H121" s="19">
        <f>ROUND(5%,4)</f>
        <v>0.05</v>
      </c>
      <c r="I121" s="20">
        <f ca="1">ROUND(H121*$I$134,2)</f>
        <v>425.95</v>
      </c>
      <c r="J121" s="190">
        <f>ROUND(5%,4)</f>
        <v>0.05</v>
      </c>
      <c r="K121" s="191">
        <f ca="1">ROUND(J121*$K$134,2)</f>
        <v>462.92</v>
      </c>
    </row>
    <row r="122" spans="3:11" ht="15" customHeight="1" x14ac:dyDescent="0.35">
      <c r="C122" s="263"/>
      <c r="D122" s="267" t="s">
        <v>97</v>
      </c>
      <c r="E122" s="267"/>
      <c r="F122" s="267"/>
      <c r="G122" s="26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58" t="s">
        <v>35</v>
      </c>
      <c r="D123" s="259"/>
      <c r="E123" s="259"/>
      <c r="F123" s="259"/>
      <c r="G123" s="259"/>
      <c r="H123" s="260"/>
      <c r="I123" s="22">
        <f ca="1">ROUND(SUM(I117,I118,I119),2)</f>
        <v>875.09</v>
      </c>
      <c r="K123" s="193">
        <f ca="1">ROUND(SUM(K117,K118,K119),2)</f>
        <v>951.04</v>
      </c>
    </row>
    <row r="125" spans="3:11" ht="15" customHeight="1" x14ac:dyDescent="0.35">
      <c r="C125" s="265" t="s">
        <v>98</v>
      </c>
      <c r="D125" s="265"/>
      <c r="E125" s="265"/>
      <c r="F125" s="265"/>
      <c r="G125" s="265"/>
      <c r="H125" s="265"/>
      <c r="I125" s="265"/>
    </row>
    <row r="126" spans="3:11" ht="15" customHeight="1" x14ac:dyDescent="0.35">
      <c r="C126" s="38"/>
      <c r="D126" s="266" t="s">
        <v>51</v>
      </c>
      <c r="E126" s="266"/>
      <c r="F126" s="266"/>
      <c r="G126" s="266"/>
      <c r="H126" s="266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64" t="s">
        <v>37</v>
      </c>
      <c r="E127" s="264"/>
      <c r="F127" s="264"/>
      <c r="G127" s="264"/>
      <c r="H127" s="264"/>
      <c r="I127" s="23">
        <f>ROUND(I37,2)</f>
        <v>3926.66</v>
      </c>
      <c r="K127" s="194">
        <f>ROUND(K37,2)</f>
        <v>4122.99</v>
      </c>
    </row>
    <row r="128" spans="3:11" ht="15" customHeight="1" x14ac:dyDescent="0.35">
      <c r="C128" s="38" t="s">
        <v>6</v>
      </c>
      <c r="D128" s="264" t="s">
        <v>68</v>
      </c>
      <c r="E128" s="264"/>
      <c r="F128" s="264"/>
      <c r="G128" s="264"/>
      <c r="H128" s="264"/>
      <c r="I128" s="23">
        <f>ROUND(I74,2)</f>
        <v>3278.88</v>
      </c>
      <c r="K128" s="194">
        <f>ROUND(K74,2)</f>
        <v>3478.33</v>
      </c>
    </row>
    <row r="129" spans="3:12" ht="15" customHeight="1" x14ac:dyDescent="0.35">
      <c r="C129" s="38" t="s">
        <v>8</v>
      </c>
      <c r="D129" s="264" t="s">
        <v>83</v>
      </c>
      <c r="E129" s="264"/>
      <c r="F129" s="264"/>
      <c r="G129" s="264"/>
      <c r="H129" s="264"/>
      <c r="I129" s="23">
        <f>ROUND(I84,2)</f>
        <v>158.99</v>
      </c>
      <c r="K129" s="194">
        <f>ROUND(K84,2)</f>
        <v>166.93</v>
      </c>
    </row>
    <row r="130" spans="3:12" ht="15" customHeight="1" x14ac:dyDescent="0.35">
      <c r="C130" s="38" t="s">
        <v>10</v>
      </c>
      <c r="D130" s="264" t="s">
        <v>89</v>
      </c>
      <c r="E130" s="264"/>
      <c r="F130" s="264"/>
      <c r="G130" s="264"/>
      <c r="H130" s="264"/>
      <c r="I130" s="23">
        <f>ROUND(I105,2)</f>
        <v>124.63</v>
      </c>
      <c r="K130" s="194">
        <f>ROUND(K105,2)</f>
        <v>384.3</v>
      </c>
    </row>
    <row r="131" spans="3:12" ht="15" customHeight="1" x14ac:dyDescent="0.35">
      <c r="C131" s="38" t="s">
        <v>11</v>
      </c>
      <c r="D131" s="264" t="s">
        <v>91</v>
      </c>
      <c r="E131" s="264"/>
      <c r="F131" s="264"/>
      <c r="G131" s="264"/>
      <c r="H131" s="264"/>
      <c r="I131" s="23">
        <f>ROUND(I113,2)</f>
        <v>154.79</v>
      </c>
      <c r="K131" s="194">
        <f>ROUND(K113,2)</f>
        <v>154.79</v>
      </c>
    </row>
    <row r="132" spans="3:12" ht="15" customHeight="1" x14ac:dyDescent="0.35">
      <c r="C132" s="258" t="s">
        <v>223</v>
      </c>
      <c r="D132" s="259"/>
      <c r="E132" s="259"/>
      <c r="F132" s="259"/>
      <c r="G132" s="259"/>
      <c r="H132" s="260"/>
      <c r="I132" s="24">
        <f>ROUND(SUM(I127:I131),2)</f>
        <v>7643.95</v>
      </c>
      <c r="J132" s="187"/>
      <c r="K132" s="195">
        <f>ROUND(SUM(K127:K131),2)</f>
        <v>8307.34</v>
      </c>
    </row>
    <row r="133" spans="3:12" ht="15" customHeight="1" x14ac:dyDescent="0.35">
      <c r="C133" s="38" t="s">
        <v>12</v>
      </c>
      <c r="D133" s="264" t="s">
        <v>99</v>
      </c>
      <c r="E133" s="264"/>
      <c r="F133" s="264"/>
      <c r="G133" s="264"/>
      <c r="H133" s="264"/>
      <c r="I133" s="23">
        <f ca="1">ROUND(I123,2)</f>
        <v>875.09</v>
      </c>
      <c r="J133" s="187"/>
      <c r="K133" s="194">
        <f ca="1">ROUND(K123,2)</f>
        <v>951.04</v>
      </c>
    </row>
    <row r="134" spans="3:12" ht="15" customHeight="1" x14ac:dyDescent="0.35">
      <c r="C134" s="258" t="s">
        <v>52</v>
      </c>
      <c r="D134" s="259"/>
      <c r="E134" s="259"/>
      <c r="F134" s="259"/>
      <c r="G134" s="259"/>
      <c r="H134" s="260"/>
      <c r="I134" s="24">
        <f ca="1">ROUND(SUM(I132:I133),2)</f>
        <v>8519.0400000000009</v>
      </c>
      <c r="K134" s="195">
        <f ca="1">ROUND(SUM(K132:K133),2)</f>
        <v>9258.3799999999992</v>
      </c>
      <c r="L134" s="25"/>
    </row>
    <row r="135" spans="3:12" ht="15" customHeight="1" x14ac:dyDescent="0.35">
      <c r="C135" s="258" t="s">
        <v>119</v>
      </c>
      <c r="D135" s="259"/>
      <c r="E135" s="259"/>
      <c r="F135" s="259"/>
      <c r="G135" s="259"/>
      <c r="H135" s="260"/>
      <c r="I135" s="24">
        <f ca="1">ROUND(2*I134,2)</f>
        <v>17038.080000000002</v>
      </c>
      <c r="K135" s="195">
        <f ca="1">ROUND(2*K134,2)</f>
        <v>18516.759999999998</v>
      </c>
    </row>
    <row r="136" spans="3:12" ht="15" customHeight="1" x14ac:dyDescent="0.35">
      <c r="C136"/>
      <c r="D136"/>
      <c r="E136"/>
      <c r="F136"/>
      <c r="G136"/>
      <c r="H136"/>
      <c r="I136"/>
      <c r="J136" s="205"/>
      <c r="K136" s="206"/>
    </row>
    <row r="137" spans="3:12" ht="15" customHeight="1" x14ac:dyDescent="0.35">
      <c r="C137"/>
      <c r="D137"/>
      <c r="E137"/>
      <c r="F137"/>
      <c r="G137"/>
      <c r="H137"/>
      <c r="I137"/>
      <c r="J137" s="205"/>
      <c r="K137" s="206"/>
    </row>
    <row r="138" spans="3:12" ht="15" customHeight="1" x14ac:dyDescent="0.35">
      <c r="C138"/>
      <c r="D138"/>
      <c r="E138"/>
      <c r="F138"/>
      <c r="G138"/>
      <c r="H138"/>
      <c r="I138"/>
      <c r="J138" s="196"/>
      <c r="K138" s="196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  <mergeCell ref="D130:H130"/>
    <mergeCell ref="D131:H131"/>
    <mergeCell ref="C132:H132"/>
    <mergeCell ref="D133:H133"/>
    <mergeCell ref="C134:H134"/>
    <mergeCell ref="C135:H135"/>
    <mergeCell ref="C123:H123"/>
    <mergeCell ref="C125:I125"/>
    <mergeCell ref="D126:H126"/>
    <mergeCell ref="D127:H127"/>
    <mergeCell ref="D128:H128"/>
    <mergeCell ref="D129:H129"/>
    <mergeCell ref="D117:G117"/>
    <mergeCell ref="D118:G118"/>
    <mergeCell ref="C119:C122"/>
    <mergeCell ref="D119:G119"/>
    <mergeCell ref="D120:G120"/>
    <mergeCell ref="D121:G121"/>
    <mergeCell ref="D122:G122"/>
    <mergeCell ref="D110:H110"/>
    <mergeCell ref="D111:H111"/>
    <mergeCell ref="D112:H112"/>
    <mergeCell ref="C113:H113"/>
    <mergeCell ref="C115:I115"/>
    <mergeCell ref="D116:G116"/>
    <mergeCell ref="D103:H103"/>
    <mergeCell ref="D104:H104"/>
    <mergeCell ref="C105:H105"/>
    <mergeCell ref="C107:I107"/>
    <mergeCell ref="D108:H108"/>
    <mergeCell ref="D109:H109"/>
    <mergeCell ref="C96:I96"/>
    <mergeCell ref="D97:H97"/>
    <mergeCell ref="D98:H98"/>
    <mergeCell ref="C99:H99"/>
    <mergeCell ref="C101:I101"/>
    <mergeCell ref="D102:H102"/>
    <mergeCell ref="D89:G89"/>
    <mergeCell ref="D90:G90"/>
    <mergeCell ref="D91:G91"/>
    <mergeCell ref="D92:G92"/>
    <mergeCell ref="D93:G93"/>
    <mergeCell ref="C94:G94"/>
    <mergeCell ref="D82:G82"/>
    <mergeCell ref="D83:G83"/>
    <mergeCell ref="C84:G84"/>
    <mergeCell ref="C86:I86"/>
    <mergeCell ref="D87:G87"/>
    <mergeCell ref="D88:G88"/>
    <mergeCell ref="C76:I76"/>
    <mergeCell ref="D77:G77"/>
    <mergeCell ref="D78:G78"/>
    <mergeCell ref="D79:G79"/>
    <mergeCell ref="D80:G80"/>
    <mergeCell ref="D81:G81"/>
    <mergeCell ref="C69:I69"/>
    <mergeCell ref="D70:H70"/>
    <mergeCell ref="D71:G71"/>
    <mergeCell ref="D72:G72"/>
    <mergeCell ref="D73:H73"/>
    <mergeCell ref="C74:G74"/>
    <mergeCell ref="D62:H62"/>
    <mergeCell ref="D63:H63"/>
    <mergeCell ref="D64:H64"/>
    <mergeCell ref="D65:H65"/>
    <mergeCell ref="D66:H66"/>
    <mergeCell ref="C67:H67"/>
    <mergeCell ref="C56:G56"/>
    <mergeCell ref="C58:I58"/>
    <mergeCell ref="D59:H59"/>
    <mergeCell ref="C60:C61"/>
    <mergeCell ref="D60:H60"/>
    <mergeCell ref="D61:H61"/>
    <mergeCell ref="D50:G50"/>
    <mergeCell ref="D51:G51"/>
    <mergeCell ref="D52:G52"/>
    <mergeCell ref="D53:G53"/>
    <mergeCell ref="D54:G54"/>
    <mergeCell ref="D55:G55"/>
    <mergeCell ref="D43:G43"/>
    <mergeCell ref="C44:G44"/>
    <mergeCell ref="C46:I46"/>
    <mergeCell ref="D47:G47"/>
    <mergeCell ref="D48:G48"/>
    <mergeCell ref="D49:G49"/>
    <mergeCell ref="D36:H36"/>
    <mergeCell ref="C37:H37"/>
    <mergeCell ref="C39:I39"/>
    <mergeCell ref="C40:I40"/>
    <mergeCell ref="D41:G41"/>
    <mergeCell ref="D42:G42"/>
    <mergeCell ref="D30:H30"/>
    <mergeCell ref="D31:H31"/>
    <mergeCell ref="D32:H32"/>
    <mergeCell ref="D33:H33"/>
    <mergeCell ref="D34:H34"/>
    <mergeCell ref="D35:H35"/>
    <mergeCell ref="D25:G25"/>
    <mergeCell ref="H25:I25"/>
    <mergeCell ref="D26:G26"/>
    <mergeCell ref="H26:I26"/>
    <mergeCell ref="C28:I28"/>
    <mergeCell ref="D29:H29"/>
    <mergeCell ref="D22:G22"/>
    <mergeCell ref="H22:I22"/>
    <mergeCell ref="D23:G23"/>
    <mergeCell ref="H23:I23"/>
    <mergeCell ref="D24:G24"/>
    <mergeCell ref="H24:I24"/>
    <mergeCell ref="C17:E17"/>
    <mergeCell ref="F17:G17"/>
    <mergeCell ref="H17:I17"/>
    <mergeCell ref="C19:I19"/>
    <mergeCell ref="C20:I20"/>
    <mergeCell ref="C21:I21"/>
    <mergeCell ref="D13:G13"/>
    <mergeCell ref="H13:I13"/>
    <mergeCell ref="C15:I15"/>
    <mergeCell ref="C16:E16"/>
    <mergeCell ref="F16:G16"/>
    <mergeCell ref="H16:I16"/>
    <mergeCell ref="C9:I9"/>
    <mergeCell ref="D10:G10"/>
    <mergeCell ref="H10:I10"/>
    <mergeCell ref="D11:G11"/>
    <mergeCell ref="H11:I11"/>
    <mergeCell ref="D12:G12"/>
    <mergeCell ref="H12:I12"/>
    <mergeCell ref="C2:I2"/>
    <mergeCell ref="C4:G4"/>
    <mergeCell ref="H4:I4"/>
    <mergeCell ref="C5:G5"/>
    <mergeCell ref="H5:I5"/>
    <mergeCell ref="C7:H7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0036E-DBF3-4BBA-8234-4AC0AE7E58B5}">
  <dimension ref="C2:IV83"/>
  <sheetViews>
    <sheetView showGridLines="0" view="pageBreakPreview" topLeftCell="A55" zoomScaleNormal="100" zoomScaleSheetLayoutView="100" workbookViewId="0">
      <selection activeCell="A21" sqref="A21:IV30"/>
    </sheetView>
  </sheetViews>
  <sheetFormatPr defaultColWidth="8.81640625" defaultRowHeight="13" x14ac:dyDescent="0.35"/>
  <cols>
    <col min="1" max="2" width="6.7265625" style="71" customWidth="1"/>
    <col min="3" max="3" width="3.7265625" style="73" customWidth="1"/>
    <col min="4" max="4" width="41.453125" style="73" customWidth="1"/>
    <col min="5" max="5" width="10.7265625" style="73" bestFit="1" customWidth="1"/>
    <col min="6" max="6" width="73.453125" style="73" customWidth="1"/>
    <col min="7" max="7" width="5.81640625" style="73" customWidth="1"/>
    <col min="8" max="8" width="5.81640625" style="71" customWidth="1"/>
    <col min="9" max="9" width="15.453125" style="71" customWidth="1"/>
    <col min="10" max="10" width="16" style="71" customWidth="1"/>
    <col min="11" max="13" width="9.1796875" style="71" customWidth="1"/>
    <col min="14" max="14" width="5" style="71" customWidth="1"/>
    <col min="15" max="16384" width="8.81640625" style="71"/>
  </cols>
  <sheetData>
    <row r="2" spans="3:7" x14ac:dyDescent="0.35">
      <c r="C2" s="72"/>
      <c r="D2" s="72"/>
      <c r="E2" s="72"/>
      <c r="F2" s="72"/>
      <c r="G2" s="72"/>
    </row>
    <row r="3" spans="3:7" x14ac:dyDescent="0.35">
      <c r="C3" s="72"/>
      <c r="D3" s="72"/>
      <c r="E3" s="72"/>
      <c r="F3" s="72"/>
      <c r="G3" s="72"/>
    </row>
    <row r="4" spans="3:7" x14ac:dyDescent="0.35">
      <c r="C4" s="313" t="s">
        <v>224</v>
      </c>
      <c r="D4" s="313"/>
      <c r="E4" s="313"/>
      <c r="F4" s="313"/>
    </row>
    <row r="5" spans="3:7" x14ac:dyDescent="0.35">
      <c r="C5" s="313"/>
      <c r="D5" s="313"/>
      <c r="E5" s="313"/>
      <c r="F5" s="313"/>
    </row>
    <row r="6" spans="3:7" x14ac:dyDescent="0.35">
      <c r="C6" s="313" t="s">
        <v>17</v>
      </c>
      <c r="D6" s="313"/>
      <c r="E6" s="313"/>
      <c r="F6" s="313"/>
    </row>
    <row r="7" spans="3:7" x14ac:dyDescent="0.35">
      <c r="C7" s="314"/>
      <c r="D7" s="315"/>
      <c r="E7" s="315"/>
      <c r="F7" s="316"/>
    </row>
    <row r="8" spans="3:7" x14ac:dyDescent="0.35">
      <c r="C8" s="317" t="s">
        <v>225</v>
      </c>
      <c r="D8" s="318"/>
      <c r="E8" s="319" t="s">
        <v>226</v>
      </c>
      <c r="F8" s="320"/>
    </row>
    <row r="9" spans="3:7" x14ac:dyDescent="0.35">
      <c r="C9" s="74" t="s">
        <v>4</v>
      </c>
      <c r="D9" s="75" t="s">
        <v>227</v>
      </c>
      <c r="E9" s="321" t="s">
        <v>228</v>
      </c>
      <c r="F9" s="322"/>
    </row>
    <row r="10" spans="3:7" x14ac:dyDescent="0.35">
      <c r="C10" s="74" t="s">
        <v>6</v>
      </c>
      <c r="D10" s="75" t="s">
        <v>229</v>
      </c>
      <c r="E10" s="321" t="s">
        <v>230</v>
      </c>
      <c r="F10" s="322"/>
    </row>
    <row r="11" spans="3:7" x14ac:dyDescent="0.35">
      <c r="C11" s="74" t="s">
        <v>8</v>
      </c>
      <c r="D11" s="75" t="s">
        <v>231</v>
      </c>
      <c r="E11" s="311" t="s">
        <v>232</v>
      </c>
      <c r="F11" s="312"/>
    </row>
    <row r="12" spans="3:7" x14ac:dyDescent="0.35">
      <c r="C12" s="74" t="s">
        <v>10</v>
      </c>
      <c r="D12" s="75" t="s">
        <v>233</v>
      </c>
      <c r="E12" s="311" t="s">
        <v>234</v>
      </c>
      <c r="F12" s="312"/>
    </row>
    <row r="13" spans="3:7" x14ac:dyDescent="0.35">
      <c r="C13" s="74" t="s">
        <v>11</v>
      </c>
      <c r="D13" s="75" t="s">
        <v>235</v>
      </c>
      <c r="E13" s="311" t="s">
        <v>236</v>
      </c>
      <c r="F13" s="312"/>
    </row>
    <row r="14" spans="3:7" x14ac:dyDescent="0.35">
      <c r="C14" s="74" t="s">
        <v>12</v>
      </c>
      <c r="D14" s="75" t="s">
        <v>237</v>
      </c>
      <c r="E14" s="311" t="s">
        <v>238</v>
      </c>
      <c r="F14" s="312"/>
    </row>
    <row r="15" spans="3:7" x14ac:dyDescent="0.35">
      <c r="C15" s="74" t="s">
        <v>29</v>
      </c>
      <c r="D15" s="75" t="s">
        <v>49</v>
      </c>
      <c r="E15" s="311"/>
      <c r="F15" s="312"/>
    </row>
    <row r="16" spans="3:7" x14ac:dyDescent="0.35">
      <c r="C16" s="325"/>
      <c r="D16" s="325"/>
      <c r="E16" s="325"/>
      <c r="F16" s="325"/>
    </row>
    <row r="17" spans="3:8" x14ac:dyDescent="0.35">
      <c r="C17" s="326" t="s">
        <v>239</v>
      </c>
      <c r="D17" s="326"/>
      <c r="E17" s="326"/>
      <c r="F17" s="326"/>
      <c r="H17" s="76"/>
    </row>
    <row r="18" spans="3:8" x14ac:dyDescent="0.35">
      <c r="C18" s="327"/>
      <c r="D18" s="327"/>
      <c r="E18" s="327"/>
      <c r="F18" s="327"/>
    </row>
    <row r="19" spans="3:8" x14ac:dyDescent="0.35">
      <c r="C19" s="328" t="s">
        <v>240</v>
      </c>
      <c r="D19" s="328"/>
      <c r="E19" s="77" t="s">
        <v>241</v>
      </c>
      <c r="F19" s="77" t="s">
        <v>242</v>
      </c>
    </row>
    <row r="20" spans="3:8" x14ac:dyDescent="0.35">
      <c r="C20" s="74" t="s">
        <v>4</v>
      </c>
      <c r="D20" s="75" t="s">
        <v>71</v>
      </c>
      <c r="E20" s="78">
        <v>8.3299999999999999E-2</v>
      </c>
      <c r="F20" s="79" t="s">
        <v>243</v>
      </c>
      <c r="H20" s="80"/>
    </row>
    <row r="21" spans="3:8" ht="26" x14ac:dyDescent="0.35">
      <c r="C21" s="81" t="s">
        <v>6</v>
      </c>
      <c r="D21" s="82" t="s">
        <v>72</v>
      </c>
      <c r="E21" s="83">
        <v>0.121</v>
      </c>
      <c r="F21" s="84" t="s">
        <v>244</v>
      </c>
      <c r="H21" s="80"/>
    </row>
    <row r="22" spans="3:8" x14ac:dyDescent="0.35">
      <c r="C22" s="326" t="s">
        <v>35</v>
      </c>
      <c r="D22" s="326"/>
      <c r="E22" s="85">
        <f>SUM(E20:E21)</f>
        <v>0.20429999999999998</v>
      </c>
      <c r="F22" s="86"/>
      <c r="H22" s="80"/>
    </row>
    <row r="23" spans="3:8" x14ac:dyDescent="0.35">
      <c r="C23" s="81"/>
      <c r="D23" s="87"/>
      <c r="E23" s="88"/>
      <c r="F23" s="89"/>
      <c r="G23" s="90"/>
      <c r="H23" s="80"/>
    </row>
    <row r="24" spans="3:8" x14ac:dyDescent="0.35">
      <c r="C24" s="329"/>
      <c r="D24" s="329"/>
      <c r="E24" s="91"/>
    </row>
    <row r="25" spans="3:8" x14ac:dyDescent="0.35">
      <c r="C25" s="331" t="s">
        <v>245</v>
      </c>
      <c r="D25" s="332"/>
      <c r="E25" s="77" t="s">
        <v>241</v>
      </c>
      <c r="F25" s="77" t="s">
        <v>226</v>
      </c>
    </row>
    <row r="26" spans="3:8" x14ac:dyDescent="0.35">
      <c r="C26" s="74" t="s">
        <v>4</v>
      </c>
      <c r="D26" s="75" t="s">
        <v>25</v>
      </c>
      <c r="E26" s="78">
        <v>0.2</v>
      </c>
      <c r="F26" s="92" t="s">
        <v>246</v>
      </c>
    </row>
    <row r="27" spans="3:8" x14ac:dyDescent="0.35">
      <c r="C27" s="74" t="s">
        <v>6</v>
      </c>
      <c r="D27" s="75" t="s">
        <v>27</v>
      </c>
      <c r="E27" s="78">
        <v>2.5000000000000001E-2</v>
      </c>
      <c r="F27" s="93" t="s">
        <v>247</v>
      </c>
    </row>
    <row r="28" spans="3:8" ht="65" x14ac:dyDescent="0.35">
      <c r="C28" s="74" t="s">
        <v>8</v>
      </c>
      <c r="D28" s="75" t="s">
        <v>248</v>
      </c>
      <c r="E28" s="78">
        <f>ROUND(3%*1.111,4)</f>
        <v>3.3300000000000003E-2</v>
      </c>
      <c r="F28" s="93" t="s">
        <v>249</v>
      </c>
    </row>
    <row r="29" spans="3:8" x14ac:dyDescent="0.35">
      <c r="C29" s="74" t="s">
        <v>10</v>
      </c>
      <c r="D29" s="75" t="s">
        <v>77</v>
      </c>
      <c r="E29" s="78">
        <v>1.4999999999999999E-2</v>
      </c>
      <c r="F29" s="92" t="s">
        <v>250</v>
      </c>
    </row>
    <row r="30" spans="3:8" x14ac:dyDescent="0.35">
      <c r="C30" s="74" t="s">
        <v>11</v>
      </c>
      <c r="D30" s="75" t="s">
        <v>78</v>
      </c>
      <c r="E30" s="78">
        <v>0.01</v>
      </c>
      <c r="F30" s="92" t="s">
        <v>251</v>
      </c>
    </row>
    <row r="31" spans="3:8" x14ac:dyDescent="0.35">
      <c r="C31" s="74" t="s">
        <v>12</v>
      </c>
      <c r="D31" s="75" t="s">
        <v>31</v>
      </c>
      <c r="E31" s="78">
        <v>6.0000000000000001E-3</v>
      </c>
      <c r="F31" s="92" t="s">
        <v>252</v>
      </c>
    </row>
    <row r="32" spans="3:8" x14ac:dyDescent="0.35">
      <c r="C32" s="74" t="s">
        <v>29</v>
      </c>
      <c r="D32" s="75" t="s">
        <v>26</v>
      </c>
      <c r="E32" s="78">
        <v>2E-3</v>
      </c>
      <c r="F32" s="92" t="s">
        <v>253</v>
      </c>
    </row>
    <row r="33" spans="3:9" x14ac:dyDescent="0.35">
      <c r="C33" s="94" t="s">
        <v>30</v>
      </c>
      <c r="D33" s="95" t="s">
        <v>28</v>
      </c>
      <c r="E33" s="96">
        <v>0.08</v>
      </c>
      <c r="F33" s="97" t="s">
        <v>254</v>
      </c>
    </row>
    <row r="34" spans="3:9" x14ac:dyDescent="0.35">
      <c r="C34" s="330" t="s">
        <v>35</v>
      </c>
      <c r="D34" s="330"/>
      <c r="E34" s="98">
        <f>SUM(E26:E33)</f>
        <v>0.37130000000000007</v>
      </c>
      <c r="F34" s="99"/>
    </row>
    <row r="35" spans="3:9" x14ac:dyDescent="0.35">
      <c r="C35" s="100"/>
      <c r="D35" s="101"/>
      <c r="E35" s="102"/>
    </row>
    <row r="36" spans="3:9" x14ac:dyDescent="0.35">
      <c r="C36" s="333"/>
      <c r="D36" s="333"/>
      <c r="E36" s="102"/>
      <c r="F36" s="103"/>
    </row>
    <row r="37" spans="3:9" x14ac:dyDescent="0.35">
      <c r="C37" s="331" t="s">
        <v>79</v>
      </c>
      <c r="D37" s="332"/>
      <c r="E37" s="323" t="s">
        <v>226</v>
      </c>
      <c r="F37" s="324"/>
    </row>
    <row r="38" spans="3:9" x14ac:dyDescent="0.35">
      <c r="C38" s="74" t="s">
        <v>4</v>
      </c>
      <c r="D38" s="104" t="s">
        <v>255</v>
      </c>
      <c r="E38" s="311" t="s">
        <v>256</v>
      </c>
      <c r="F38" s="312"/>
    </row>
    <row r="39" spans="3:9" x14ac:dyDescent="0.35">
      <c r="C39" s="74" t="s">
        <v>6</v>
      </c>
      <c r="D39" s="104" t="s">
        <v>257</v>
      </c>
      <c r="E39" s="311" t="s">
        <v>258</v>
      </c>
      <c r="F39" s="312"/>
    </row>
    <row r="40" spans="3:9" x14ac:dyDescent="0.35">
      <c r="C40" s="74" t="s">
        <v>8</v>
      </c>
      <c r="D40" s="104" t="s">
        <v>259</v>
      </c>
      <c r="E40" s="334" t="s">
        <v>260</v>
      </c>
      <c r="F40" s="335"/>
    </row>
    <row r="41" spans="3:9" x14ac:dyDescent="0.35">
      <c r="C41" s="74" t="s">
        <v>10</v>
      </c>
      <c r="D41" s="75" t="s">
        <v>261</v>
      </c>
      <c r="E41" s="334" t="s">
        <v>262</v>
      </c>
      <c r="F41" s="335"/>
    </row>
    <row r="42" spans="3:9" x14ac:dyDescent="0.35">
      <c r="C42" s="74" t="s">
        <v>11</v>
      </c>
      <c r="D42" s="75" t="s">
        <v>263</v>
      </c>
      <c r="E42" s="334" t="s">
        <v>262</v>
      </c>
      <c r="F42" s="335"/>
    </row>
    <row r="43" spans="3:9" ht="26" x14ac:dyDescent="0.35">
      <c r="C43" s="94" t="s">
        <v>12</v>
      </c>
      <c r="D43" s="105" t="s">
        <v>264</v>
      </c>
      <c r="E43" s="336" t="s">
        <v>265</v>
      </c>
      <c r="F43" s="312"/>
    </row>
    <row r="44" spans="3:9" x14ac:dyDescent="0.35">
      <c r="C44" s="330" t="s">
        <v>266</v>
      </c>
      <c r="D44" s="330"/>
      <c r="E44" s="106">
        <f>E34+E22</f>
        <v>0.57560000000000011</v>
      </c>
      <c r="I44" s="80"/>
    </row>
    <row r="45" spans="3:9" x14ac:dyDescent="0.35">
      <c r="C45" s="107"/>
      <c r="D45" s="107"/>
      <c r="E45" s="102"/>
      <c r="F45" s="103"/>
      <c r="I45" s="80"/>
    </row>
    <row r="46" spans="3:9" x14ac:dyDescent="0.35">
      <c r="C46" s="326" t="s">
        <v>267</v>
      </c>
      <c r="D46" s="326"/>
      <c r="E46" s="326"/>
      <c r="F46" s="326"/>
      <c r="I46" s="80"/>
    </row>
    <row r="47" spans="3:9" x14ac:dyDescent="0.35">
      <c r="C47" s="108"/>
      <c r="D47" s="108"/>
      <c r="E47" s="108"/>
      <c r="F47" s="108"/>
      <c r="I47" s="80"/>
    </row>
    <row r="48" spans="3:9" x14ac:dyDescent="0.35">
      <c r="C48" s="77">
        <v>3</v>
      </c>
      <c r="D48" s="109" t="s">
        <v>268</v>
      </c>
      <c r="E48" s="77" t="s">
        <v>241</v>
      </c>
      <c r="F48" s="77" t="s">
        <v>242</v>
      </c>
      <c r="H48" s="80"/>
    </row>
    <row r="49" spans="3:16" ht="26" x14ac:dyDescent="0.35">
      <c r="C49" s="74" t="s">
        <v>4</v>
      </c>
      <c r="D49" s="75" t="s">
        <v>84</v>
      </c>
      <c r="E49" s="78">
        <v>2.0000000000000001E-4</v>
      </c>
      <c r="F49" s="110" t="s">
        <v>269</v>
      </c>
    </row>
    <row r="50" spans="3:16" x14ac:dyDescent="0.35">
      <c r="C50" s="74" t="s">
        <v>6</v>
      </c>
      <c r="D50" s="104" t="s">
        <v>55</v>
      </c>
      <c r="E50" s="111">
        <f>E49*E33</f>
        <v>1.6000000000000003E-5</v>
      </c>
      <c r="F50" s="110" t="s">
        <v>270</v>
      </c>
      <c r="H50" s="112"/>
      <c r="I50" s="112"/>
      <c r="O50" s="80"/>
      <c r="P50" s="80"/>
    </row>
    <row r="51" spans="3:16" ht="52" x14ac:dyDescent="0.35">
      <c r="C51" s="74" t="s">
        <v>8</v>
      </c>
      <c r="D51" s="104" t="s">
        <v>271</v>
      </c>
      <c r="E51" s="113">
        <v>3.9899999999999998E-2</v>
      </c>
      <c r="F51" s="110" t="s">
        <v>301</v>
      </c>
      <c r="G51" s="114"/>
    </row>
    <row r="52" spans="3:16" x14ac:dyDescent="0.35">
      <c r="C52" s="74" t="s">
        <v>10</v>
      </c>
      <c r="D52" s="75" t="s">
        <v>86</v>
      </c>
      <c r="E52" s="78">
        <v>2.0000000000000001E-4</v>
      </c>
      <c r="F52" s="84" t="s">
        <v>272</v>
      </c>
      <c r="H52" s="112"/>
      <c r="J52" s="112"/>
    </row>
    <row r="53" spans="3:16" ht="26" x14ac:dyDescent="0.35">
      <c r="C53" s="74" t="s">
        <v>11</v>
      </c>
      <c r="D53" s="104" t="s">
        <v>273</v>
      </c>
      <c r="E53" s="111">
        <f>E34*E52</f>
        <v>7.4260000000000024E-5</v>
      </c>
      <c r="F53" s="115" t="s">
        <v>274</v>
      </c>
      <c r="H53" s="112"/>
      <c r="I53" s="80"/>
    </row>
    <row r="54" spans="3:16" ht="52" x14ac:dyDescent="0.35">
      <c r="C54" s="94" t="s">
        <v>12</v>
      </c>
      <c r="D54" s="105" t="s">
        <v>275</v>
      </c>
      <c r="E54" s="116">
        <v>1E-4</v>
      </c>
      <c r="F54" s="117" t="s">
        <v>301</v>
      </c>
    </row>
    <row r="55" spans="3:16" x14ac:dyDescent="0.3">
      <c r="C55" s="339" t="s">
        <v>35</v>
      </c>
      <c r="D55" s="339"/>
      <c r="E55" s="118">
        <f>SUM(E49:E54)</f>
        <v>4.049026E-2</v>
      </c>
      <c r="F55" s="119"/>
    </row>
    <row r="56" spans="3:16" x14ac:dyDescent="0.3">
      <c r="C56" s="107"/>
      <c r="D56" s="107"/>
      <c r="E56" s="102"/>
      <c r="F56" s="120"/>
    </row>
    <row r="57" spans="3:16" x14ac:dyDescent="0.35">
      <c r="C57" s="326" t="s">
        <v>276</v>
      </c>
      <c r="D57" s="326"/>
      <c r="E57" s="326"/>
      <c r="F57" s="326"/>
    </row>
    <row r="58" spans="3:16" x14ac:dyDescent="0.35">
      <c r="C58" s="107"/>
      <c r="D58" s="107"/>
      <c r="E58" s="102"/>
      <c r="F58" s="121"/>
    </row>
    <row r="59" spans="3:16" x14ac:dyDescent="0.35">
      <c r="C59" s="323" t="s">
        <v>277</v>
      </c>
      <c r="D59" s="324"/>
      <c r="E59" s="77" t="s">
        <v>278</v>
      </c>
      <c r="F59" s="122" t="s">
        <v>242</v>
      </c>
    </row>
    <row r="60" spans="3:16" ht="26" x14ac:dyDescent="0.35">
      <c r="C60" s="74" t="s">
        <v>4</v>
      </c>
      <c r="D60" s="75" t="s">
        <v>279</v>
      </c>
      <c r="E60" s="123">
        <v>2.0000000000000001E-4</v>
      </c>
      <c r="F60" s="124" t="s">
        <v>269</v>
      </c>
      <c r="G60" s="125"/>
      <c r="H60" s="125"/>
      <c r="I60" s="125"/>
      <c r="J60" s="125"/>
      <c r="K60" s="125"/>
      <c r="L60" s="125"/>
      <c r="M60" s="125"/>
      <c r="N60" s="126"/>
    </row>
    <row r="61" spans="3:16" x14ac:dyDescent="0.35">
      <c r="C61" s="74" t="s">
        <v>6</v>
      </c>
      <c r="D61" s="75" t="s">
        <v>280</v>
      </c>
      <c r="E61" s="78">
        <v>2.9999999999999997E-4</v>
      </c>
      <c r="F61" s="127" t="s">
        <v>281</v>
      </c>
      <c r="G61" s="128"/>
      <c r="H61" s="112"/>
    </row>
    <row r="62" spans="3:16" x14ac:dyDescent="0.35">
      <c r="C62" s="74" t="s">
        <v>8</v>
      </c>
      <c r="D62" s="75" t="s">
        <v>282</v>
      </c>
      <c r="E62" s="78">
        <v>1E-4</v>
      </c>
      <c r="F62" s="129" t="s">
        <v>283</v>
      </c>
      <c r="H62" s="112"/>
      <c r="J62" s="112"/>
    </row>
    <row r="63" spans="3:16" ht="39" x14ac:dyDescent="0.35">
      <c r="C63" s="74" t="s">
        <v>10</v>
      </c>
      <c r="D63" s="104" t="s">
        <v>284</v>
      </c>
      <c r="E63" s="78">
        <v>2.9999999999999997E-4</v>
      </c>
      <c r="F63" s="130" t="s">
        <v>285</v>
      </c>
      <c r="G63" s="131"/>
      <c r="H63" s="132"/>
      <c r="I63" s="133"/>
    </row>
    <row r="64" spans="3:16" ht="26" x14ac:dyDescent="0.35">
      <c r="C64" s="74" t="s">
        <v>11</v>
      </c>
      <c r="D64" s="75" t="s">
        <v>286</v>
      </c>
      <c r="E64" s="78">
        <v>1E-4</v>
      </c>
      <c r="F64" s="124" t="s">
        <v>287</v>
      </c>
      <c r="H64" s="112"/>
      <c r="I64" s="76"/>
    </row>
    <row r="65" spans="3:256" x14ac:dyDescent="0.35">
      <c r="C65" s="340" t="s">
        <v>288</v>
      </c>
      <c r="D65" s="341"/>
      <c r="E65" s="85">
        <f>SUM(E60:E64)</f>
        <v>1E-3</v>
      </c>
      <c r="F65" s="134"/>
    </row>
    <row r="66" spans="3:256" x14ac:dyDescent="0.35">
      <c r="C66" s="340"/>
      <c r="D66" s="341"/>
      <c r="E66" s="135"/>
      <c r="F66" s="134"/>
    </row>
    <row r="67" spans="3:256" x14ac:dyDescent="0.35">
      <c r="C67" s="323" t="s">
        <v>289</v>
      </c>
      <c r="D67" s="324"/>
      <c r="E67" s="77" t="s">
        <v>278</v>
      </c>
      <c r="F67" s="77" t="s">
        <v>242</v>
      </c>
    </row>
    <row r="68" spans="3:256" x14ac:dyDescent="0.35">
      <c r="C68" s="74" t="s">
        <v>4</v>
      </c>
      <c r="D68" s="75" t="s">
        <v>290</v>
      </c>
      <c r="E68" s="78"/>
      <c r="F68" s="136" t="s">
        <v>291</v>
      </c>
      <c r="G68" s="137"/>
      <c r="H68" s="138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37"/>
      <c r="AP68" s="137"/>
      <c r="AQ68" s="137"/>
      <c r="AR68" s="137"/>
      <c r="AS68" s="137"/>
      <c r="AT68" s="137"/>
      <c r="AU68" s="137"/>
      <c r="AV68" s="137"/>
      <c r="AW68" s="137"/>
      <c r="AX68" s="137"/>
      <c r="AY68" s="137"/>
      <c r="AZ68" s="137"/>
      <c r="BA68" s="137"/>
      <c r="BB68" s="137"/>
      <c r="BC68" s="137"/>
      <c r="BD68" s="137"/>
      <c r="BE68" s="137"/>
      <c r="BF68" s="137"/>
      <c r="BG68" s="137"/>
      <c r="BH68" s="137"/>
      <c r="BI68" s="137"/>
      <c r="BJ68" s="137"/>
      <c r="BK68" s="137"/>
      <c r="BL68" s="137"/>
      <c r="BM68" s="137"/>
      <c r="BN68" s="137"/>
      <c r="BO68" s="137"/>
      <c r="BP68" s="137"/>
      <c r="BQ68" s="137"/>
      <c r="BR68" s="137"/>
      <c r="BS68" s="137"/>
      <c r="BT68" s="137"/>
      <c r="BU68" s="137"/>
      <c r="BV68" s="137"/>
      <c r="BW68" s="137"/>
      <c r="BX68" s="137"/>
      <c r="BY68" s="137"/>
      <c r="BZ68" s="137"/>
      <c r="CA68" s="137"/>
      <c r="CB68" s="137"/>
      <c r="CC68" s="137"/>
      <c r="CD68" s="137"/>
      <c r="CE68" s="137"/>
      <c r="CF68" s="137"/>
      <c r="CG68" s="137"/>
      <c r="CH68" s="137"/>
      <c r="CI68" s="137"/>
      <c r="CJ68" s="137"/>
      <c r="CK68" s="137"/>
      <c r="CL68" s="137"/>
      <c r="CM68" s="137"/>
      <c r="CN68" s="137"/>
      <c r="CO68" s="137"/>
      <c r="CP68" s="137"/>
      <c r="CQ68" s="137"/>
      <c r="CR68" s="137"/>
      <c r="CS68" s="137"/>
      <c r="CT68" s="137"/>
      <c r="CU68" s="137"/>
      <c r="CV68" s="137"/>
      <c r="CW68" s="137"/>
      <c r="CX68" s="137"/>
      <c r="CY68" s="137"/>
      <c r="CZ68" s="137"/>
      <c r="DA68" s="137"/>
      <c r="DB68" s="137"/>
      <c r="DC68" s="137"/>
      <c r="DD68" s="137"/>
      <c r="DE68" s="137"/>
      <c r="DF68" s="137"/>
      <c r="DG68" s="137"/>
      <c r="DH68" s="137"/>
      <c r="DI68" s="137"/>
      <c r="DJ68" s="137"/>
      <c r="DK68" s="137"/>
      <c r="DL68" s="137"/>
      <c r="DM68" s="137"/>
      <c r="DN68" s="137"/>
      <c r="DO68" s="137"/>
      <c r="DP68" s="137"/>
      <c r="DQ68" s="137"/>
      <c r="DR68" s="137"/>
      <c r="DS68" s="137"/>
      <c r="DT68" s="137"/>
      <c r="DU68" s="137"/>
      <c r="DV68" s="137"/>
      <c r="DW68" s="137"/>
      <c r="DX68" s="137"/>
      <c r="DY68" s="137"/>
      <c r="DZ68" s="137"/>
      <c r="EA68" s="137"/>
      <c r="EB68" s="137"/>
      <c r="EC68" s="137"/>
      <c r="ED68" s="137"/>
      <c r="EE68" s="137"/>
      <c r="EF68" s="137"/>
      <c r="EG68" s="137"/>
      <c r="EH68" s="137"/>
      <c r="EI68" s="137"/>
      <c r="EJ68" s="137"/>
      <c r="EK68" s="137"/>
      <c r="EL68" s="137"/>
      <c r="EM68" s="137"/>
      <c r="EN68" s="137"/>
      <c r="EO68" s="137"/>
      <c r="EP68" s="137"/>
      <c r="EQ68" s="137"/>
      <c r="ER68" s="137"/>
      <c r="ES68" s="137"/>
      <c r="ET68" s="137"/>
      <c r="EU68" s="137"/>
      <c r="EV68" s="137"/>
      <c r="EW68" s="137"/>
      <c r="EX68" s="137"/>
      <c r="EY68" s="137"/>
      <c r="EZ68" s="137"/>
      <c r="FA68" s="137"/>
      <c r="FB68" s="137"/>
      <c r="FC68" s="137"/>
      <c r="FD68" s="137"/>
      <c r="FE68" s="137"/>
      <c r="FF68" s="137"/>
      <c r="FG68" s="137"/>
      <c r="FH68" s="137"/>
      <c r="FI68" s="137"/>
      <c r="FJ68" s="137"/>
      <c r="FK68" s="137"/>
      <c r="FL68" s="137"/>
      <c r="FM68" s="137"/>
      <c r="FN68" s="137"/>
      <c r="FO68" s="137"/>
      <c r="FP68" s="137"/>
      <c r="FQ68" s="137"/>
      <c r="FR68" s="137"/>
      <c r="FS68" s="137"/>
      <c r="FT68" s="137"/>
      <c r="FU68" s="137"/>
      <c r="FV68" s="137"/>
      <c r="FW68" s="137"/>
      <c r="FX68" s="137"/>
      <c r="FY68" s="137"/>
      <c r="FZ68" s="137"/>
      <c r="GA68" s="137"/>
      <c r="GB68" s="137"/>
      <c r="GC68" s="137"/>
      <c r="GD68" s="137"/>
      <c r="GE68" s="137"/>
      <c r="GF68" s="137"/>
      <c r="GG68" s="137"/>
      <c r="GH68" s="137"/>
      <c r="GI68" s="137"/>
      <c r="GJ68" s="137"/>
      <c r="GK68" s="137"/>
      <c r="GL68" s="137"/>
      <c r="GM68" s="137"/>
      <c r="GN68" s="137"/>
      <c r="GO68" s="137"/>
      <c r="GP68" s="137"/>
      <c r="GQ68" s="137"/>
      <c r="GR68" s="137"/>
      <c r="GS68" s="137"/>
      <c r="GT68" s="137"/>
      <c r="GU68" s="137"/>
      <c r="GV68" s="137"/>
      <c r="GW68" s="137"/>
      <c r="GX68" s="137"/>
      <c r="GY68" s="137"/>
      <c r="GZ68" s="137"/>
      <c r="HA68" s="137"/>
      <c r="HB68" s="137"/>
      <c r="HC68" s="137"/>
      <c r="HD68" s="137"/>
      <c r="HE68" s="137"/>
      <c r="HF68" s="137"/>
      <c r="HG68" s="137"/>
      <c r="HH68" s="137"/>
      <c r="HI68" s="137"/>
      <c r="HJ68" s="137"/>
      <c r="HK68" s="137"/>
      <c r="HL68" s="137"/>
      <c r="HM68" s="137"/>
      <c r="HN68" s="137"/>
      <c r="HO68" s="137"/>
      <c r="HP68" s="137"/>
      <c r="HQ68" s="137"/>
      <c r="HR68" s="137"/>
      <c r="HS68" s="137"/>
      <c r="HT68" s="137"/>
      <c r="HU68" s="137"/>
      <c r="HV68" s="137"/>
      <c r="HW68" s="137"/>
      <c r="HX68" s="137"/>
      <c r="HY68" s="137"/>
      <c r="HZ68" s="137"/>
      <c r="IA68" s="137"/>
      <c r="IB68" s="137"/>
      <c r="IC68" s="137"/>
      <c r="ID68" s="137"/>
      <c r="IE68" s="137"/>
      <c r="IF68" s="137"/>
      <c r="IG68" s="137"/>
      <c r="IH68" s="137"/>
      <c r="II68" s="137"/>
      <c r="IJ68" s="137"/>
      <c r="IK68" s="137"/>
      <c r="IL68" s="137"/>
      <c r="IM68" s="137"/>
      <c r="IN68" s="137"/>
      <c r="IO68" s="137"/>
      <c r="IP68" s="137"/>
      <c r="IQ68" s="137"/>
      <c r="IR68" s="137"/>
      <c r="IS68" s="137"/>
      <c r="IT68" s="137"/>
      <c r="IU68" s="137"/>
      <c r="IV68" s="137"/>
    </row>
    <row r="69" spans="3:256" x14ac:dyDescent="0.35">
      <c r="C69" s="342"/>
      <c r="D69" s="342"/>
      <c r="E69" s="102"/>
      <c r="F69" s="103"/>
      <c r="G69" s="137"/>
      <c r="H69" s="138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7"/>
      <c r="BB69" s="137"/>
      <c r="BC69" s="137"/>
      <c r="BD69" s="137"/>
      <c r="BE69" s="137"/>
      <c r="BF69" s="137"/>
      <c r="BG69" s="137"/>
      <c r="BH69" s="137"/>
      <c r="BI69" s="137"/>
      <c r="BJ69" s="137"/>
      <c r="BK69" s="137"/>
      <c r="BL69" s="137"/>
      <c r="BM69" s="137"/>
      <c r="BN69" s="137"/>
      <c r="BO69" s="137"/>
      <c r="BP69" s="137"/>
      <c r="BQ69" s="137"/>
      <c r="BR69" s="137"/>
      <c r="BS69" s="137"/>
      <c r="BT69" s="137"/>
      <c r="BU69" s="137"/>
      <c r="BV69" s="137"/>
      <c r="BW69" s="137"/>
      <c r="BX69" s="137"/>
      <c r="BY69" s="137"/>
      <c r="BZ69" s="137"/>
      <c r="CA69" s="137"/>
      <c r="CB69" s="137"/>
      <c r="CC69" s="137"/>
      <c r="CD69" s="137"/>
      <c r="CE69" s="137"/>
      <c r="CF69" s="137"/>
      <c r="CG69" s="137"/>
      <c r="CH69" s="137"/>
      <c r="CI69" s="137"/>
      <c r="CJ69" s="137"/>
      <c r="CK69" s="137"/>
      <c r="CL69" s="137"/>
      <c r="CM69" s="137"/>
      <c r="CN69" s="137"/>
      <c r="CO69" s="137"/>
      <c r="CP69" s="137"/>
      <c r="CQ69" s="137"/>
      <c r="CR69" s="137"/>
      <c r="CS69" s="137"/>
      <c r="CT69" s="137"/>
      <c r="CU69" s="137"/>
      <c r="CV69" s="137"/>
      <c r="CW69" s="137"/>
      <c r="CX69" s="137"/>
      <c r="CY69" s="137"/>
      <c r="CZ69" s="137"/>
      <c r="DA69" s="137"/>
      <c r="DB69" s="137"/>
      <c r="DC69" s="137"/>
      <c r="DD69" s="137"/>
      <c r="DE69" s="137"/>
      <c r="DF69" s="137"/>
      <c r="DG69" s="137"/>
      <c r="DH69" s="137"/>
      <c r="DI69" s="137"/>
      <c r="DJ69" s="137"/>
      <c r="DK69" s="137"/>
      <c r="DL69" s="137"/>
      <c r="DM69" s="137"/>
      <c r="DN69" s="137"/>
      <c r="DO69" s="137"/>
      <c r="DP69" s="137"/>
      <c r="DQ69" s="137"/>
      <c r="DR69" s="137"/>
      <c r="DS69" s="137"/>
      <c r="DT69" s="137"/>
      <c r="DU69" s="137"/>
      <c r="DV69" s="137"/>
      <c r="DW69" s="137"/>
      <c r="DX69" s="137"/>
      <c r="DY69" s="137"/>
      <c r="DZ69" s="137"/>
      <c r="EA69" s="137"/>
      <c r="EB69" s="137"/>
      <c r="EC69" s="137"/>
      <c r="ED69" s="137"/>
      <c r="EE69" s="137"/>
      <c r="EF69" s="137"/>
      <c r="EG69" s="137"/>
      <c r="EH69" s="137"/>
      <c r="EI69" s="137"/>
      <c r="EJ69" s="137"/>
      <c r="EK69" s="137"/>
      <c r="EL69" s="137"/>
      <c r="EM69" s="137"/>
      <c r="EN69" s="137"/>
      <c r="EO69" s="137"/>
      <c r="EP69" s="137"/>
      <c r="EQ69" s="137"/>
      <c r="ER69" s="137"/>
      <c r="ES69" s="137"/>
      <c r="ET69" s="137"/>
      <c r="EU69" s="137"/>
      <c r="EV69" s="137"/>
      <c r="EW69" s="137"/>
      <c r="EX69" s="137"/>
      <c r="EY69" s="137"/>
      <c r="EZ69" s="137"/>
      <c r="FA69" s="137"/>
      <c r="FB69" s="137"/>
      <c r="FC69" s="137"/>
      <c r="FD69" s="137"/>
      <c r="FE69" s="137"/>
      <c r="FF69" s="137"/>
      <c r="FG69" s="137"/>
      <c r="FH69" s="137"/>
      <c r="FI69" s="137"/>
      <c r="FJ69" s="137"/>
      <c r="FK69" s="137"/>
      <c r="FL69" s="137"/>
      <c r="FM69" s="137"/>
      <c r="FN69" s="137"/>
      <c r="FO69" s="137"/>
      <c r="FP69" s="137"/>
      <c r="FQ69" s="137"/>
      <c r="FR69" s="137"/>
      <c r="FS69" s="137"/>
      <c r="FT69" s="137"/>
      <c r="FU69" s="137"/>
      <c r="FV69" s="137"/>
      <c r="FW69" s="137"/>
      <c r="FX69" s="137"/>
      <c r="FY69" s="137"/>
      <c r="FZ69" s="137"/>
      <c r="GA69" s="137"/>
      <c r="GB69" s="137"/>
      <c r="GC69" s="137"/>
      <c r="GD69" s="137"/>
      <c r="GE69" s="137"/>
      <c r="GF69" s="137"/>
      <c r="GG69" s="137"/>
      <c r="GH69" s="137"/>
      <c r="GI69" s="137"/>
      <c r="GJ69" s="137"/>
      <c r="GK69" s="137"/>
      <c r="GL69" s="137"/>
      <c r="GM69" s="137"/>
      <c r="GN69" s="137"/>
      <c r="GO69" s="137"/>
      <c r="GP69" s="137"/>
      <c r="GQ69" s="137"/>
      <c r="GR69" s="137"/>
      <c r="GS69" s="137"/>
      <c r="GT69" s="137"/>
      <c r="GU69" s="137"/>
      <c r="GV69" s="137"/>
      <c r="GW69" s="137"/>
      <c r="GX69" s="137"/>
      <c r="GY69" s="137"/>
      <c r="GZ69" s="137"/>
      <c r="HA69" s="137"/>
      <c r="HB69" s="137"/>
      <c r="HC69" s="137"/>
      <c r="HD69" s="137"/>
      <c r="HE69" s="137"/>
      <c r="HF69" s="137"/>
      <c r="HG69" s="137"/>
      <c r="HH69" s="137"/>
      <c r="HI69" s="137"/>
      <c r="HJ69" s="137"/>
      <c r="HK69" s="137"/>
      <c r="HL69" s="137"/>
      <c r="HM69" s="137"/>
      <c r="HN69" s="137"/>
      <c r="HO69" s="137"/>
      <c r="HP69" s="137"/>
      <c r="HQ69" s="137"/>
      <c r="HR69" s="137"/>
      <c r="HS69" s="137"/>
      <c r="HT69" s="137"/>
      <c r="HU69" s="137"/>
      <c r="HV69" s="137"/>
      <c r="HW69" s="137"/>
      <c r="HX69" s="137"/>
      <c r="HY69" s="137"/>
      <c r="HZ69" s="137"/>
      <c r="IA69" s="137"/>
      <c r="IB69" s="137"/>
      <c r="IC69" s="137"/>
      <c r="ID69" s="137"/>
      <c r="IE69" s="137"/>
      <c r="IF69" s="137"/>
      <c r="IG69" s="137"/>
      <c r="IH69" s="137"/>
      <c r="II69" s="137"/>
      <c r="IJ69" s="137"/>
      <c r="IK69" s="137"/>
      <c r="IL69" s="137"/>
      <c r="IM69" s="137"/>
      <c r="IN69" s="137"/>
      <c r="IO69" s="137"/>
      <c r="IP69" s="137"/>
      <c r="IQ69" s="137"/>
      <c r="IR69" s="137"/>
      <c r="IS69" s="137"/>
      <c r="IT69" s="137"/>
      <c r="IU69" s="137"/>
      <c r="IV69" s="137"/>
    </row>
    <row r="70" spans="3:256" x14ac:dyDescent="0.35">
      <c r="C70" s="139"/>
      <c r="D70" s="139"/>
      <c r="E70" s="102"/>
      <c r="F70" s="103"/>
    </row>
    <row r="71" spans="3:256" x14ac:dyDescent="0.35">
      <c r="C71" s="339" t="s">
        <v>292</v>
      </c>
      <c r="D71" s="339"/>
      <c r="E71" s="85">
        <f>E65</f>
        <v>1E-3</v>
      </c>
      <c r="F71" s="103"/>
    </row>
    <row r="72" spans="3:256" x14ac:dyDescent="0.35">
      <c r="C72" s="139"/>
      <c r="D72" s="139"/>
      <c r="E72" s="102"/>
      <c r="F72" s="103"/>
    </row>
    <row r="73" spans="3:256" x14ac:dyDescent="0.35">
      <c r="C73" s="139"/>
      <c r="D73" s="139"/>
      <c r="E73" s="102"/>
      <c r="F73" s="103"/>
    </row>
    <row r="74" spans="3:256" x14ac:dyDescent="0.35">
      <c r="C74" s="326" t="s">
        <v>153</v>
      </c>
      <c r="D74" s="326"/>
      <c r="E74" s="326"/>
      <c r="F74" s="326"/>
    </row>
    <row r="75" spans="3:256" x14ac:dyDescent="0.35">
      <c r="C75" s="326"/>
      <c r="D75" s="326"/>
      <c r="E75" s="326"/>
      <c r="F75" s="326"/>
    </row>
    <row r="76" spans="3:256" x14ac:dyDescent="0.35">
      <c r="C76" s="337" t="s">
        <v>293</v>
      </c>
      <c r="D76" s="329"/>
      <c r="E76" s="338"/>
      <c r="F76" s="77" t="s">
        <v>166</v>
      </c>
    </row>
    <row r="77" spans="3:256" x14ac:dyDescent="0.35">
      <c r="C77" s="74" t="s">
        <v>24</v>
      </c>
      <c r="D77" s="343" t="s">
        <v>294</v>
      </c>
      <c r="E77" s="344"/>
      <c r="F77" s="140">
        <f>E44</f>
        <v>0.57560000000000011</v>
      </c>
      <c r="G77" s="141"/>
    </row>
    <row r="78" spans="3:256" x14ac:dyDescent="0.35">
      <c r="C78" s="74"/>
      <c r="D78" s="142" t="s">
        <v>295</v>
      </c>
      <c r="E78" s="143"/>
      <c r="F78" s="140">
        <f>E22*E34</f>
        <v>7.5856590000000002E-2</v>
      </c>
      <c r="G78" s="141"/>
    </row>
    <row r="79" spans="3:256" x14ac:dyDescent="0.35">
      <c r="C79" s="74" t="s">
        <v>32</v>
      </c>
      <c r="D79" s="343" t="s">
        <v>296</v>
      </c>
      <c r="E79" s="344"/>
      <c r="F79" s="140">
        <f>E55</f>
        <v>4.049026E-2</v>
      </c>
      <c r="G79" s="141"/>
    </row>
    <row r="80" spans="3:256" x14ac:dyDescent="0.35">
      <c r="C80" s="74" t="s">
        <v>297</v>
      </c>
      <c r="D80" s="343" t="s">
        <v>298</v>
      </c>
      <c r="E80" s="344"/>
      <c r="F80" s="140">
        <f>E71</f>
        <v>1E-3</v>
      </c>
      <c r="G80" s="141"/>
    </row>
    <row r="81" spans="3:14" ht="13.5" thickBot="1" x14ac:dyDescent="0.4">
      <c r="C81" s="94" t="s">
        <v>299</v>
      </c>
      <c r="D81" s="345" t="s">
        <v>49</v>
      </c>
      <c r="E81" s="346"/>
      <c r="F81" s="144"/>
      <c r="G81" s="141"/>
      <c r="L81" s="145"/>
      <c r="M81" s="80"/>
      <c r="N81" s="145"/>
    </row>
    <row r="82" spans="3:14" ht="13.5" thickBot="1" x14ac:dyDescent="0.4">
      <c r="C82" s="347" t="s">
        <v>300</v>
      </c>
      <c r="D82" s="348"/>
      <c r="E82" s="349"/>
      <c r="F82" s="146">
        <f>ROUND(SUM(F77:F80),3)</f>
        <v>0.69299999999999995</v>
      </c>
      <c r="J82" s="147"/>
    </row>
    <row r="83" spans="3:14" x14ac:dyDescent="0.35">
      <c r="L83" s="145"/>
    </row>
  </sheetData>
  <mergeCells count="47">
    <mergeCell ref="D77:E77"/>
    <mergeCell ref="D79:E79"/>
    <mergeCell ref="D80:E80"/>
    <mergeCell ref="D81:E81"/>
    <mergeCell ref="C82:E82"/>
    <mergeCell ref="C76:E76"/>
    <mergeCell ref="C46:F46"/>
    <mergeCell ref="C55:D55"/>
    <mergeCell ref="C57:F57"/>
    <mergeCell ref="C59:D59"/>
    <mergeCell ref="C65:D65"/>
    <mergeCell ref="C66:D66"/>
    <mergeCell ref="C67:D67"/>
    <mergeCell ref="C69:D69"/>
    <mergeCell ref="C71:D71"/>
    <mergeCell ref="C74:F74"/>
    <mergeCell ref="C75:F75"/>
    <mergeCell ref="E39:F39"/>
    <mergeCell ref="E40:F40"/>
    <mergeCell ref="E41:F41"/>
    <mergeCell ref="E42:F42"/>
    <mergeCell ref="E43:F43"/>
    <mergeCell ref="C44:D44"/>
    <mergeCell ref="C25:D25"/>
    <mergeCell ref="C34:D34"/>
    <mergeCell ref="C36:D36"/>
    <mergeCell ref="C37:D37"/>
    <mergeCell ref="E37:F37"/>
    <mergeCell ref="E38:F38"/>
    <mergeCell ref="C16:F16"/>
    <mergeCell ref="C17:F17"/>
    <mergeCell ref="C18:F18"/>
    <mergeCell ref="C19:D19"/>
    <mergeCell ref="C22:D22"/>
    <mergeCell ref="C24:D24"/>
    <mergeCell ref="E15:F15"/>
    <mergeCell ref="C4:F5"/>
    <mergeCell ref="C6:F6"/>
    <mergeCell ref="C7:F7"/>
    <mergeCell ref="C8:D8"/>
    <mergeCell ref="E8:F8"/>
    <mergeCell ref="E9:F9"/>
    <mergeCell ref="E10:F10"/>
    <mergeCell ref="E11:F11"/>
    <mergeCell ref="E12:F12"/>
    <mergeCell ref="E13:F13"/>
    <mergeCell ref="E14:F14"/>
  </mergeCells>
  <pageMargins left="0.511811024" right="0.511811024" top="0.78740157499999996" bottom="0.78740157499999996" header="0.31496062000000002" footer="0.31496062000000002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89E24-AF23-4086-856E-F8DB6630AF24}">
  <sheetPr>
    <pageSetUpPr fitToPage="1"/>
  </sheetPr>
  <dimension ref="C3:H86"/>
  <sheetViews>
    <sheetView showGridLines="0" zoomScale="70" zoomScaleNormal="70" zoomScaleSheetLayoutView="100" workbookViewId="0"/>
  </sheetViews>
  <sheetFormatPr defaultColWidth="9.1796875" defaultRowHeight="13" x14ac:dyDescent="0.35"/>
  <cols>
    <col min="1" max="2" width="1.7265625" style="49" customWidth="1"/>
    <col min="3" max="3" width="80.7265625" style="49" customWidth="1"/>
    <col min="4" max="8" width="15.7265625" style="49" customWidth="1"/>
    <col min="9" max="9" width="1.7265625" style="49" customWidth="1"/>
    <col min="10" max="13" width="5.54296875" style="49" customWidth="1"/>
    <col min="14" max="16384" width="9.1796875" style="49"/>
  </cols>
  <sheetData>
    <row r="3" spans="3:7" x14ac:dyDescent="0.35">
      <c r="C3" s="354" t="s">
        <v>121</v>
      </c>
      <c r="D3" s="354"/>
      <c r="E3" s="354"/>
      <c r="F3" s="354"/>
      <c r="G3" s="354"/>
    </row>
    <row r="4" spans="3:7" x14ac:dyDescent="0.35">
      <c r="C4" s="50"/>
      <c r="D4" s="50"/>
      <c r="E4" s="50"/>
      <c r="F4" s="50"/>
      <c r="G4" s="50"/>
    </row>
    <row r="5" spans="3:7" x14ac:dyDescent="0.35">
      <c r="C5" s="355" t="s">
        <v>177</v>
      </c>
      <c r="D5" s="355"/>
      <c r="E5" s="355"/>
      <c r="F5" s="355"/>
      <c r="G5" s="355"/>
    </row>
    <row r="6" spans="3:7" x14ac:dyDescent="0.35">
      <c r="C6" s="51" t="s">
        <v>122</v>
      </c>
      <c r="D6" s="51" t="s">
        <v>123</v>
      </c>
      <c r="E6" s="51" t="s">
        <v>124</v>
      </c>
      <c r="F6" s="52" t="s">
        <v>125</v>
      </c>
      <c r="G6" s="52" t="s">
        <v>126</v>
      </c>
    </row>
    <row r="7" spans="3:7" x14ac:dyDescent="0.35">
      <c r="C7" s="53" t="s">
        <v>186</v>
      </c>
      <c r="D7" s="54" t="s">
        <v>127</v>
      </c>
      <c r="E7" s="55">
        <f>147+47.25</f>
        <v>194.25</v>
      </c>
      <c r="F7" s="56">
        <v>2</v>
      </c>
      <c r="G7" s="55">
        <f t="shared" ref="G7:G15" si="0">ROUND(E7*F7,2)</f>
        <v>388.5</v>
      </c>
    </row>
    <row r="8" spans="3:7" x14ac:dyDescent="0.35">
      <c r="C8" s="53" t="s">
        <v>178</v>
      </c>
      <c r="D8" s="54" t="s">
        <v>127</v>
      </c>
      <c r="E8" s="55">
        <v>52.5</v>
      </c>
      <c r="F8" s="56">
        <v>4</v>
      </c>
      <c r="G8" s="55">
        <f t="shared" si="0"/>
        <v>210</v>
      </c>
    </row>
    <row r="9" spans="3:7" x14ac:dyDescent="0.35">
      <c r="C9" s="53" t="s">
        <v>179</v>
      </c>
      <c r="D9" s="54" t="s">
        <v>127</v>
      </c>
      <c r="E9" s="55">
        <v>36.75</v>
      </c>
      <c r="F9" s="56">
        <v>4</v>
      </c>
      <c r="G9" s="55">
        <f t="shared" si="0"/>
        <v>147</v>
      </c>
    </row>
    <row r="10" spans="3:7" x14ac:dyDescent="0.35">
      <c r="C10" s="53" t="s">
        <v>181</v>
      </c>
      <c r="D10" s="54" t="s">
        <v>127</v>
      </c>
      <c r="E10" s="55">
        <v>23.1</v>
      </c>
      <c r="F10" s="56">
        <v>2</v>
      </c>
      <c r="G10" s="55">
        <f t="shared" si="0"/>
        <v>46.2</v>
      </c>
    </row>
    <row r="11" spans="3:7" x14ac:dyDescent="0.35">
      <c r="C11" s="53" t="s">
        <v>180</v>
      </c>
      <c r="D11" s="54" t="s">
        <v>127</v>
      </c>
      <c r="E11" s="55">
        <v>22</v>
      </c>
      <c r="F11" s="56">
        <v>2</v>
      </c>
      <c r="G11" s="55">
        <f t="shared" si="0"/>
        <v>44</v>
      </c>
    </row>
    <row r="12" spans="3:7" x14ac:dyDescent="0.35">
      <c r="C12" s="53" t="s">
        <v>182</v>
      </c>
      <c r="D12" s="54" t="s">
        <v>128</v>
      </c>
      <c r="E12" s="55">
        <v>6.3</v>
      </c>
      <c r="F12" s="56">
        <v>4</v>
      </c>
      <c r="G12" s="55">
        <f t="shared" si="0"/>
        <v>25.2</v>
      </c>
    </row>
    <row r="13" spans="3:7" x14ac:dyDescent="0.35">
      <c r="C13" s="53" t="s">
        <v>183</v>
      </c>
      <c r="D13" s="54" t="s">
        <v>128</v>
      </c>
      <c r="E13" s="55">
        <v>75</v>
      </c>
      <c r="F13" s="56">
        <v>2</v>
      </c>
      <c r="G13" s="55">
        <f t="shared" si="0"/>
        <v>150</v>
      </c>
    </row>
    <row r="14" spans="3:7" x14ac:dyDescent="0.35">
      <c r="C14" s="53" t="s">
        <v>184</v>
      </c>
      <c r="D14" s="54" t="s">
        <v>127</v>
      </c>
      <c r="E14" s="55">
        <v>5</v>
      </c>
      <c r="F14" s="56">
        <v>1</v>
      </c>
      <c r="G14" s="55">
        <f t="shared" si="0"/>
        <v>5</v>
      </c>
    </row>
    <row r="15" spans="3:7" x14ac:dyDescent="0.35">
      <c r="C15" s="53" t="s">
        <v>185</v>
      </c>
      <c r="D15" s="54" t="s">
        <v>127</v>
      </c>
      <c r="E15" s="55">
        <v>90</v>
      </c>
      <c r="F15" s="56">
        <v>1</v>
      </c>
      <c r="G15" s="55">
        <f t="shared" si="0"/>
        <v>90</v>
      </c>
    </row>
    <row r="16" spans="3:7" x14ac:dyDescent="0.35">
      <c r="C16" s="57"/>
      <c r="E16" s="58"/>
      <c r="F16" s="52" t="s">
        <v>35</v>
      </c>
      <c r="G16" s="52">
        <f>SUM(G7:G15)</f>
        <v>1105.9000000000001</v>
      </c>
    </row>
    <row r="17" spans="3:8" x14ac:dyDescent="0.35">
      <c r="C17" s="57"/>
      <c r="F17" s="52" t="s">
        <v>103</v>
      </c>
      <c r="G17" s="52">
        <f>ROUND(((G16/12)),2)</f>
        <v>92.16</v>
      </c>
    </row>
    <row r="18" spans="3:8" x14ac:dyDescent="0.35">
      <c r="C18" s="50"/>
      <c r="D18" s="50"/>
      <c r="E18" s="50"/>
      <c r="F18" s="50"/>
      <c r="G18" s="50"/>
    </row>
    <row r="19" spans="3:8" x14ac:dyDescent="0.35">
      <c r="C19" s="355" t="s">
        <v>187</v>
      </c>
      <c r="D19" s="355"/>
      <c r="E19" s="355"/>
      <c r="F19" s="355"/>
      <c r="G19" s="355"/>
    </row>
    <row r="20" spans="3:8" x14ac:dyDescent="0.35">
      <c r="C20" s="51" t="s">
        <v>122</v>
      </c>
      <c r="D20" s="51" t="s">
        <v>123</v>
      </c>
      <c r="E20" s="51" t="s">
        <v>124</v>
      </c>
      <c r="F20" s="52" t="s">
        <v>125</v>
      </c>
      <c r="G20" s="52" t="s">
        <v>126</v>
      </c>
      <c r="H20" s="50"/>
    </row>
    <row r="21" spans="3:8" s="50" customFormat="1" x14ac:dyDescent="0.35">
      <c r="C21" s="53" t="s">
        <v>188</v>
      </c>
      <c r="D21" s="54" t="s">
        <v>127</v>
      </c>
      <c r="E21" s="55">
        <v>52.5</v>
      </c>
      <c r="F21" s="56">
        <v>4</v>
      </c>
      <c r="G21" s="55">
        <f t="shared" ref="G21:G31" si="1">ROUND(E21*F21,2)</f>
        <v>210</v>
      </c>
    </row>
    <row r="22" spans="3:8" s="50" customFormat="1" x14ac:dyDescent="0.35">
      <c r="C22" s="53" t="s">
        <v>178</v>
      </c>
      <c r="D22" s="54" t="s">
        <v>127</v>
      </c>
      <c r="E22" s="55">
        <v>52.5</v>
      </c>
      <c r="F22" s="56">
        <v>4</v>
      </c>
      <c r="G22" s="55">
        <f t="shared" si="1"/>
        <v>210</v>
      </c>
    </row>
    <row r="23" spans="3:8" s="50" customFormat="1" x14ac:dyDescent="0.35">
      <c r="C23" s="53" t="s">
        <v>189</v>
      </c>
      <c r="D23" s="54" t="s">
        <v>127</v>
      </c>
      <c r="E23" s="55">
        <v>47.25</v>
      </c>
      <c r="F23" s="56">
        <v>4</v>
      </c>
      <c r="G23" s="55">
        <f t="shared" si="1"/>
        <v>189</v>
      </c>
    </row>
    <row r="24" spans="3:8" s="50" customFormat="1" x14ac:dyDescent="0.35">
      <c r="C24" s="53" t="s">
        <v>179</v>
      </c>
      <c r="D24" s="54" t="s">
        <v>127</v>
      </c>
      <c r="E24" s="55">
        <v>36.75</v>
      </c>
      <c r="F24" s="56">
        <v>4</v>
      </c>
      <c r="G24" s="55">
        <f t="shared" si="1"/>
        <v>147</v>
      </c>
    </row>
    <row r="25" spans="3:8" x14ac:dyDescent="0.35">
      <c r="C25" s="53" t="s">
        <v>190</v>
      </c>
      <c r="D25" s="54" t="s">
        <v>127</v>
      </c>
      <c r="E25" s="55">
        <v>12</v>
      </c>
      <c r="F25" s="56">
        <v>1</v>
      </c>
      <c r="G25" s="55">
        <f t="shared" si="1"/>
        <v>12</v>
      </c>
    </row>
    <row r="26" spans="3:8" x14ac:dyDescent="0.35">
      <c r="C26" s="53" t="s">
        <v>191</v>
      </c>
      <c r="D26" s="54" t="s">
        <v>128</v>
      </c>
      <c r="E26" s="55">
        <v>185</v>
      </c>
      <c r="F26" s="56">
        <v>2</v>
      </c>
      <c r="G26" s="55">
        <f t="shared" si="1"/>
        <v>370</v>
      </c>
    </row>
    <row r="27" spans="3:8" x14ac:dyDescent="0.35">
      <c r="C27" s="53" t="s">
        <v>192</v>
      </c>
      <c r="D27" s="54" t="s">
        <v>128</v>
      </c>
      <c r="E27" s="55">
        <v>6.3</v>
      </c>
      <c r="F27" s="56">
        <v>4</v>
      </c>
      <c r="G27" s="55">
        <f t="shared" si="1"/>
        <v>25.2</v>
      </c>
    </row>
    <row r="28" spans="3:8" x14ac:dyDescent="0.35">
      <c r="C28" s="53" t="s">
        <v>193</v>
      </c>
      <c r="D28" s="54" t="s">
        <v>127</v>
      </c>
      <c r="E28" s="55">
        <v>18.5</v>
      </c>
      <c r="F28" s="56">
        <v>1</v>
      </c>
      <c r="G28" s="55">
        <f t="shared" si="1"/>
        <v>18.5</v>
      </c>
    </row>
    <row r="29" spans="3:8" x14ac:dyDescent="0.35">
      <c r="C29" s="53" t="s">
        <v>194</v>
      </c>
      <c r="D29" s="54" t="s">
        <v>127</v>
      </c>
      <c r="E29" s="55">
        <v>80</v>
      </c>
      <c r="F29" s="56">
        <v>1</v>
      </c>
      <c r="G29" s="55">
        <f t="shared" si="1"/>
        <v>80</v>
      </c>
    </row>
    <row r="30" spans="3:8" x14ac:dyDescent="0.35">
      <c r="C30" s="53" t="s">
        <v>184</v>
      </c>
      <c r="D30" s="54" t="s">
        <v>127</v>
      </c>
      <c r="E30" s="55">
        <v>5</v>
      </c>
      <c r="F30" s="56">
        <v>1</v>
      </c>
      <c r="G30" s="55">
        <f t="shared" si="1"/>
        <v>5</v>
      </c>
    </row>
    <row r="31" spans="3:8" x14ac:dyDescent="0.35">
      <c r="C31" s="53" t="s">
        <v>195</v>
      </c>
      <c r="D31" s="54" t="s">
        <v>127</v>
      </c>
      <c r="E31" s="55">
        <v>150</v>
      </c>
      <c r="F31" s="56">
        <v>1</v>
      </c>
      <c r="G31" s="55">
        <f t="shared" si="1"/>
        <v>150</v>
      </c>
    </row>
    <row r="32" spans="3:8" x14ac:dyDescent="0.3">
      <c r="C32" s="59"/>
      <c r="E32" s="58"/>
      <c r="F32" s="52" t="s">
        <v>35</v>
      </c>
      <c r="G32" s="52">
        <f>SUM(G21:G31)</f>
        <v>1416.7</v>
      </c>
    </row>
    <row r="33" spans="3:8" x14ac:dyDescent="0.35">
      <c r="C33" s="57"/>
      <c r="F33" s="52" t="s">
        <v>103</v>
      </c>
      <c r="G33" s="52">
        <f>ROUND(((G32/12)),2)</f>
        <v>118.06</v>
      </c>
    </row>
    <row r="34" spans="3:8" x14ac:dyDescent="0.35">
      <c r="C34" s="57"/>
      <c r="F34" s="60"/>
      <c r="G34" s="61"/>
    </row>
    <row r="35" spans="3:8" x14ac:dyDescent="0.35">
      <c r="C35" s="353" t="s">
        <v>196</v>
      </c>
      <c r="D35" s="353"/>
      <c r="E35" s="353"/>
      <c r="F35" s="353"/>
      <c r="G35" s="353"/>
      <c r="H35" s="353"/>
    </row>
    <row r="36" spans="3:8" ht="26" x14ac:dyDescent="0.35">
      <c r="C36" s="62" t="s">
        <v>129</v>
      </c>
      <c r="D36" s="63" t="s">
        <v>130</v>
      </c>
      <c r="E36" s="63" t="s">
        <v>131</v>
      </c>
      <c r="F36" s="63" t="s">
        <v>132</v>
      </c>
      <c r="G36" s="63" t="s">
        <v>133</v>
      </c>
      <c r="H36" s="63" t="s">
        <v>134</v>
      </c>
    </row>
    <row r="37" spans="3:8" x14ac:dyDescent="0.35">
      <c r="C37" s="53" t="s">
        <v>197</v>
      </c>
      <c r="D37" s="64">
        <v>550</v>
      </c>
      <c r="E37" s="65">
        <v>1</v>
      </c>
      <c r="F37" s="66">
        <f>ROUND(E37*D37,2)</f>
        <v>550</v>
      </c>
      <c r="G37" s="65">
        <v>60</v>
      </c>
      <c r="H37" s="66">
        <f>ROUND(F37/G37,2)</f>
        <v>9.17</v>
      </c>
    </row>
    <row r="38" spans="3:8" x14ac:dyDescent="0.35">
      <c r="C38" s="53" t="s">
        <v>204</v>
      </c>
      <c r="D38" s="64">
        <v>55</v>
      </c>
      <c r="E38" s="65">
        <v>1</v>
      </c>
      <c r="F38" s="66">
        <f>ROUND(E38*D38,2)</f>
        <v>55</v>
      </c>
      <c r="G38" s="65">
        <v>1</v>
      </c>
      <c r="H38" s="66">
        <f>ROUND(F38/G38,2)</f>
        <v>55</v>
      </c>
    </row>
    <row r="39" spans="3:8" x14ac:dyDescent="0.35">
      <c r="C39" s="53" t="s">
        <v>198</v>
      </c>
      <c r="D39" s="64">
        <v>65</v>
      </c>
      <c r="E39" s="65">
        <v>4</v>
      </c>
      <c r="F39" s="66">
        <f>ROUND(E39*D39,2)</f>
        <v>260</v>
      </c>
      <c r="G39" s="65">
        <v>1</v>
      </c>
      <c r="H39" s="66">
        <f>ROUND(F39/G39,2)</f>
        <v>260</v>
      </c>
    </row>
    <row r="40" spans="3:8" x14ac:dyDescent="0.35">
      <c r="C40" s="53" t="s">
        <v>199</v>
      </c>
      <c r="D40" s="64">
        <v>800</v>
      </c>
      <c r="E40" s="65">
        <v>1</v>
      </c>
      <c r="F40" s="66">
        <f>ROUND(E40*D40,2)</f>
        <v>800</v>
      </c>
      <c r="G40" s="65">
        <v>60</v>
      </c>
      <c r="H40" s="66">
        <f>ROUND(F40/G40,2)</f>
        <v>13.33</v>
      </c>
    </row>
    <row r="41" spans="3:8" x14ac:dyDescent="0.35">
      <c r="C41" s="67" t="s">
        <v>200</v>
      </c>
      <c r="D41" s="64">
        <v>3.5</v>
      </c>
      <c r="E41" s="65">
        <v>8</v>
      </c>
      <c r="F41" s="66">
        <f>ROUND(E41*D41,2)</f>
        <v>28</v>
      </c>
      <c r="G41" s="65">
        <v>1</v>
      </c>
      <c r="H41" s="66">
        <f>ROUND(F41/G41,2)</f>
        <v>28</v>
      </c>
    </row>
    <row r="42" spans="3:8" x14ac:dyDescent="0.35">
      <c r="C42" s="353" t="s">
        <v>35</v>
      </c>
      <c r="D42" s="353"/>
      <c r="E42" s="353"/>
      <c r="F42" s="353"/>
      <c r="G42" s="353"/>
      <c r="H42" s="68">
        <f>ROUND(SUM(H37:H41),2)</f>
        <v>365.5</v>
      </c>
    </row>
    <row r="43" spans="3:8" x14ac:dyDescent="0.35">
      <c r="C43" s="350" t="s">
        <v>135</v>
      </c>
      <c r="D43" s="351"/>
      <c r="E43" s="351"/>
      <c r="F43" s="351"/>
      <c r="G43" s="352"/>
      <c r="H43" s="68">
        <f>ROUND(((H42/8)),2)</f>
        <v>45.69</v>
      </c>
    </row>
    <row r="44" spans="3:8" x14ac:dyDescent="0.35">
      <c r="C44" s="57"/>
      <c r="F44" s="60"/>
      <c r="G44" s="61"/>
    </row>
    <row r="45" spans="3:8" x14ac:dyDescent="0.35">
      <c r="C45" s="61"/>
      <c r="D45" s="61"/>
      <c r="E45" s="61"/>
      <c r="F45" s="69"/>
      <c r="G45" s="61"/>
    </row>
    <row r="46" spans="3:8" x14ac:dyDescent="0.35">
      <c r="C46" s="353" t="s">
        <v>201</v>
      </c>
      <c r="D46" s="353"/>
      <c r="E46" s="353"/>
      <c r="F46" s="353"/>
      <c r="G46" s="353"/>
      <c r="H46" s="353"/>
    </row>
    <row r="47" spans="3:8" ht="26" x14ac:dyDescent="0.35">
      <c r="C47" s="62" t="s">
        <v>129</v>
      </c>
      <c r="D47" s="63" t="s">
        <v>130</v>
      </c>
      <c r="E47" s="63" t="s">
        <v>131</v>
      </c>
      <c r="F47" s="63" t="s">
        <v>132</v>
      </c>
      <c r="G47" s="63" t="s">
        <v>133</v>
      </c>
      <c r="H47" s="63" t="s">
        <v>134</v>
      </c>
    </row>
    <row r="48" spans="3:8" x14ac:dyDescent="0.35">
      <c r="C48" s="53" t="s">
        <v>197</v>
      </c>
      <c r="D48" s="64">
        <v>550</v>
      </c>
      <c r="E48" s="65">
        <v>1</v>
      </c>
      <c r="F48" s="66">
        <f>ROUND(E48*D48,2)</f>
        <v>550</v>
      </c>
      <c r="G48" s="65">
        <v>60</v>
      </c>
      <c r="H48" s="66">
        <f>ROUND(F48/G48,2)</f>
        <v>9.17</v>
      </c>
    </row>
    <row r="49" spans="3:8" x14ac:dyDescent="0.35">
      <c r="C49" s="53" t="s">
        <v>204</v>
      </c>
      <c r="D49" s="64">
        <v>55</v>
      </c>
      <c r="E49" s="65">
        <v>1</v>
      </c>
      <c r="F49" s="66">
        <f>ROUND(E49*D49,2)</f>
        <v>55</v>
      </c>
      <c r="G49" s="65">
        <v>1</v>
      </c>
      <c r="H49" s="66">
        <f>ROUND(F49/G49,2)</f>
        <v>55</v>
      </c>
    </row>
    <row r="50" spans="3:8" x14ac:dyDescent="0.35">
      <c r="C50" s="53" t="s">
        <v>198</v>
      </c>
      <c r="D50" s="64">
        <v>65</v>
      </c>
      <c r="E50" s="65">
        <v>2</v>
      </c>
      <c r="F50" s="66">
        <f>ROUND(E50*D50,2)</f>
        <v>130</v>
      </c>
      <c r="G50" s="65">
        <v>1</v>
      </c>
      <c r="H50" s="66">
        <f>ROUND(F50/G50,2)</f>
        <v>130</v>
      </c>
    </row>
    <row r="51" spans="3:8" x14ac:dyDescent="0.35">
      <c r="C51" s="53" t="s">
        <v>202</v>
      </c>
      <c r="D51" s="64">
        <v>800</v>
      </c>
      <c r="E51" s="65">
        <v>1</v>
      </c>
      <c r="F51" s="66">
        <f>ROUND(E51*D51,2)</f>
        <v>800</v>
      </c>
      <c r="G51" s="65">
        <v>60</v>
      </c>
      <c r="H51" s="66">
        <f>ROUND(F51/G51,2)</f>
        <v>13.33</v>
      </c>
    </row>
    <row r="52" spans="3:8" x14ac:dyDescent="0.35">
      <c r="C52" s="67" t="s">
        <v>203</v>
      </c>
      <c r="D52" s="64">
        <v>3.5</v>
      </c>
      <c r="E52" s="65">
        <v>8</v>
      </c>
      <c r="F52" s="66">
        <f>ROUND(E52*D52,2)</f>
        <v>28</v>
      </c>
      <c r="G52" s="65">
        <v>1</v>
      </c>
      <c r="H52" s="66">
        <f>ROUND(F52/G52,2)</f>
        <v>28</v>
      </c>
    </row>
    <row r="53" spans="3:8" x14ac:dyDescent="0.35">
      <c r="C53" s="353" t="s">
        <v>35</v>
      </c>
      <c r="D53" s="353"/>
      <c r="E53" s="353"/>
      <c r="F53" s="353"/>
      <c r="G53" s="353"/>
      <c r="H53" s="68">
        <f>ROUND(SUM(H48:H52),2)</f>
        <v>235.5</v>
      </c>
    </row>
    <row r="54" spans="3:8" x14ac:dyDescent="0.35">
      <c r="C54" s="350" t="s">
        <v>135</v>
      </c>
      <c r="D54" s="351"/>
      <c r="E54" s="351"/>
      <c r="F54" s="351"/>
      <c r="G54" s="352"/>
      <c r="H54" s="68">
        <f>ROUND(((H53/8)),2)</f>
        <v>29.44</v>
      </c>
    </row>
    <row r="56" spans="3:8" x14ac:dyDescent="0.35">
      <c r="C56" s="353" t="s">
        <v>218</v>
      </c>
      <c r="D56" s="353"/>
      <c r="E56" s="353"/>
      <c r="F56" s="353"/>
      <c r="G56" s="353"/>
      <c r="H56" s="353"/>
    </row>
    <row r="57" spans="3:8" ht="26" x14ac:dyDescent="0.35">
      <c r="C57" s="62" t="s">
        <v>129</v>
      </c>
      <c r="D57" s="63" t="s">
        <v>130</v>
      </c>
      <c r="E57" s="63" t="s">
        <v>131</v>
      </c>
      <c r="F57" s="63" t="s">
        <v>132</v>
      </c>
      <c r="G57" s="63" t="s">
        <v>133</v>
      </c>
      <c r="H57" s="63" t="s">
        <v>134</v>
      </c>
    </row>
    <row r="58" spans="3:8" x14ac:dyDescent="0.35">
      <c r="C58" s="53" t="s">
        <v>317</v>
      </c>
      <c r="D58" s="64">
        <v>0</v>
      </c>
      <c r="E58" s="65">
        <v>3</v>
      </c>
      <c r="F58" s="66">
        <f t="shared" ref="F58:F65" si="2">ROUND(E58*D58,2)</f>
        <v>0</v>
      </c>
      <c r="G58" s="65">
        <v>30</v>
      </c>
      <c r="H58" s="66">
        <f t="shared" ref="H58:H65" si="3">ROUND(F58/G58,2)</f>
        <v>0</v>
      </c>
    </row>
    <row r="59" spans="3:8" x14ac:dyDescent="0.35">
      <c r="C59" s="53" t="s">
        <v>318</v>
      </c>
      <c r="D59" s="64">
        <v>0</v>
      </c>
      <c r="E59" s="65">
        <v>3</v>
      </c>
      <c r="F59" s="66">
        <f t="shared" si="2"/>
        <v>0</v>
      </c>
      <c r="G59" s="65">
        <v>30</v>
      </c>
      <c r="H59" s="66">
        <f t="shared" si="3"/>
        <v>0</v>
      </c>
    </row>
    <row r="60" spans="3:8" x14ac:dyDescent="0.35">
      <c r="C60" s="53" t="s">
        <v>205</v>
      </c>
      <c r="D60" s="64">
        <v>5</v>
      </c>
      <c r="E60" s="65">
        <v>16</v>
      </c>
      <c r="F60" s="66">
        <f t="shared" si="2"/>
        <v>80</v>
      </c>
      <c r="G60" s="65">
        <v>30</v>
      </c>
      <c r="H60" s="66">
        <f t="shared" si="3"/>
        <v>2.67</v>
      </c>
    </row>
    <row r="61" spans="3:8" x14ac:dyDescent="0.35">
      <c r="C61" s="53" t="s">
        <v>206</v>
      </c>
      <c r="D61" s="64">
        <v>4</v>
      </c>
      <c r="E61" s="65">
        <v>16</v>
      </c>
      <c r="F61" s="66">
        <f t="shared" si="2"/>
        <v>64</v>
      </c>
      <c r="G61" s="65">
        <v>30</v>
      </c>
      <c r="H61" s="66">
        <f t="shared" si="3"/>
        <v>2.13</v>
      </c>
    </row>
    <row r="62" spans="3:8" x14ac:dyDescent="0.35">
      <c r="C62" s="67" t="s">
        <v>207</v>
      </c>
      <c r="D62" s="64">
        <v>70</v>
      </c>
      <c r="E62" s="65">
        <v>3</v>
      </c>
      <c r="F62" s="66">
        <f t="shared" si="2"/>
        <v>210</v>
      </c>
      <c r="G62" s="65">
        <v>36</v>
      </c>
      <c r="H62" s="66">
        <f t="shared" si="3"/>
        <v>5.83</v>
      </c>
    </row>
    <row r="63" spans="3:8" x14ac:dyDescent="0.35">
      <c r="C63" s="67" t="s">
        <v>208</v>
      </c>
      <c r="D63" s="64">
        <v>30</v>
      </c>
      <c r="E63" s="65">
        <v>1</v>
      </c>
      <c r="F63" s="66">
        <f t="shared" si="2"/>
        <v>30</v>
      </c>
      <c r="G63" s="65">
        <v>6</v>
      </c>
      <c r="H63" s="66">
        <f t="shared" si="3"/>
        <v>5</v>
      </c>
    </row>
    <row r="64" spans="3:8" x14ac:dyDescent="0.35">
      <c r="C64" s="67" t="s">
        <v>209</v>
      </c>
      <c r="D64" s="64">
        <v>0.8</v>
      </c>
      <c r="E64" s="65">
        <v>1</v>
      </c>
      <c r="F64" s="66">
        <f t="shared" si="2"/>
        <v>0.8</v>
      </c>
      <c r="G64" s="65">
        <v>3</v>
      </c>
      <c r="H64" s="66">
        <f t="shared" si="3"/>
        <v>0.27</v>
      </c>
    </row>
    <row r="65" spans="3:8" x14ac:dyDescent="0.35">
      <c r="C65" s="67" t="s">
        <v>210</v>
      </c>
      <c r="D65" s="64">
        <v>465</v>
      </c>
      <c r="E65" s="65">
        <v>3</v>
      </c>
      <c r="F65" s="66">
        <f t="shared" si="2"/>
        <v>1395</v>
      </c>
      <c r="G65" s="65">
        <v>60</v>
      </c>
      <c r="H65" s="66">
        <f t="shared" si="3"/>
        <v>23.25</v>
      </c>
    </row>
    <row r="66" spans="3:8" x14ac:dyDescent="0.35">
      <c r="C66" s="353" t="s">
        <v>35</v>
      </c>
      <c r="D66" s="353"/>
      <c r="E66" s="353"/>
      <c r="F66" s="353"/>
      <c r="G66" s="353"/>
      <c r="H66" s="68">
        <f>ROUND(SUM(H58:H65),2)</f>
        <v>39.15</v>
      </c>
    </row>
    <row r="67" spans="3:8" x14ac:dyDescent="0.35">
      <c r="C67" s="350" t="s">
        <v>135</v>
      </c>
      <c r="D67" s="351"/>
      <c r="E67" s="351"/>
      <c r="F67" s="351"/>
      <c r="G67" s="352"/>
      <c r="H67" s="68">
        <f>ROUND(((H66/8)),2)</f>
        <v>4.8899999999999997</v>
      </c>
    </row>
    <row r="68" spans="3:8" x14ac:dyDescent="0.35">
      <c r="C68" s="57"/>
      <c r="F68" s="60"/>
      <c r="G68" s="61"/>
    </row>
    <row r="69" spans="3:8" x14ac:dyDescent="0.35">
      <c r="C69" s="61"/>
      <c r="D69" s="61"/>
      <c r="E69" s="61"/>
      <c r="F69" s="69"/>
      <c r="G69" s="61"/>
    </row>
    <row r="70" spans="3:8" x14ac:dyDescent="0.35">
      <c r="C70" s="353" t="s">
        <v>219</v>
      </c>
      <c r="D70" s="353"/>
      <c r="E70" s="353"/>
      <c r="F70" s="353"/>
      <c r="G70" s="353"/>
      <c r="H70" s="353"/>
    </row>
    <row r="71" spans="3:8" ht="26" x14ac:dyDescent="0.35">
      <c r="C71" s="62" t="s">
        <v>129</v>
      </c>
      <c r="D71" s="63" t="s">
        <v>130</v>
      </c>
      <c r="E71" s="63" t="s">
        <v>131</v>
      </c>
      <c r="F71" s="63" t="s">
        <v>132</v>
      </c>
      <c r="G71" s="63" t="s">
        <v>133</v>
      </c>
      <c r="H71" s="63" t="s">
        <v>134</v>
      </c>
    </row>
    <row r="72" spans="3:8" x14ac:dyDescent="0.35">
      <c r="C72" s="53" t="s">
        <v>319</v>
      </c>
      <c r="D72" s="64">
        <v>0</v>
      </c>
      <c r="E72" s="65">
        <v>2</v>
      </c>
      <c r="F72" s="66">
        <f t="shared" ref="F72:F84" si="4">ROUND(E72*D72,2)</f>
        <v>0</v>
      </c>
      <c r="G72" s="65">
        <v>30</v>
      </c>
      <c r="H72" s="66">
        <f t="shared" ref="H72:H84" si="5">ROUND(F72/G72,2)</f>
        <v>0</v>
      </c>
    </row>
    <row r="73" spans="3:8" x14ac:dyDescent="0.35">
      <c r="C73" s="53" t="s">
        <v>320</v>
      </c>
      <c r="D73" s="64">
        <v>0</v>
      </c>
      <c r="E73" s="65">
        <v>2</v>
      </c>
      <c r="F73" s="66">
        <f t="shared" si="4"/>
        <v>0</v>
      </c>
      <c r="G73" s="65">
        <v>30</v>
      </c>
      <c r="H73" s="66">
        <f t="shared" si="5"/>
        <v>0</v>
      </c>
    </row>
    <row r="74" spans="3:8" x14ac:dyDescent="0.35">
      <c r="C74" s="53" t="s">
        <v>211</v>
      </c>
      <c r="D74" s="64">
        <v>5</v>
      </c>
      <c r="E74" s="65">
        <v>16</v>
      </c>
      <c r="F74" s="66">
        <f t="shared" si="4"/>
        <v>80</v>
      </c>
      <c r="G74" s="65">
        <v>30</v>
      </c>
      <c r="H74" s="66">
        <f t="shared" si="5"/>
        <v>2.67</v>
      </c>
    </row>
    <row r="75" spans="3:8" x14ac:dyDescent="0.35">
      <c r="C75" s="53" t="s">
        <v>206</v>
      </c>
      <c r="D75" s="64">
        <v>4</v>
      </c>
      <c r="E75" s="65">
        <v>16</v>
      </c>
      <c r="F75" s="66">
        <f t="shared" si="4"/>
        <v>64</v>
      </c>
      <c r="G75" s="65">
        <v>30</v>
      </c>
      <c r="H75" s="66">
        <f t="shared" si="5"/>
        <v>2.13</v>
      </c>
    </row>
    <row r="76" spans="3:8" x14ac:dyDescent="0.35">
      <c r="C76" s="67" t="s">
        <v>212</v>
      </c>
      <c r="D76" s="64">
        <v>70</v>
      </c>
      <c r="E76" s="65">
        <v>2</v>
      </c>
      <c r="F76" s="66">
        <f t="shared" si="4"/>
        <v>140</v>
      </c>
      <c r="G76" s="65">
        <v>36</v>
      </c>
      <c r="H76" s="66">
        <f t="shared" si="5"/>
        <v>3.89</v>
      </c>
    </row>
    <row r="77" spans="3:8" x14ac:dyDescent="0.35">
      <c r="C77" s="67" t="s">
        <v>208</v>
      </c>
      <c r="D77" s="64">
        <v>30</v>
      </c>
      <c r="E77" s="65">
        <v>1</v>
      </c>
      <c r="F77" s="66">
        <f t="shared" si="4"/>
        <v>30</v>
      </c>
      <c r="G77" s="65">
        <v>6</v>
      </c>
      <c r="H77" s="66">
        <f t="shared" si="5"/>
        <v>5</v>
      </c>
    </row>
    <row r="78" spans="3:8" x14ac:dyDescent="0.35">
      <c r="C78" s="67" t="s">
        <v>209</v>
      </c>
      <c r="D78" s="64">
        <v>0.8</v>
      </c>
      <c r="E78" s="65">
        <v>1</v>
      </c>
      <c r="F78" s="66">
        <f t="shared" si="4"/>
        <v>0.8</v>
      </c>
      <c r="G78" s="65">
        <v>3</v>
      </c>
      <c r="H78" s="66">
        <f t="shared" si="5"/>
        <v>0.27</v>
      </c>
    </row>
    <row r="79" spans="3:8" x14ac:dyDescent="0.35">
      <c r="C79" s="67" t="s">
        <v>213</v>
      </c>
      <c r="D79" s="64">
        <v>465</v>
      </c>
      <c r="E79" s="65">
        <v>2</v>
      </c>
      <c r="F79" s="66">
        <f t="shared" si="4"/>
        <v>930</v>
      </c>
      <c r="G79" s="65">
        <v>60</v>
      </c>
      <c r="H79" s="66">
        <f t="shared" si="5"/>
        <v>15.5</v>
      </c>
    </row>
    <row r="80" spans="3:8" x14ac:dyDescent="0.35">
      <c r="C80" s="67" t="s">
        <v>221</v>
      </c>
      <c r="D80" s="64">
        <v>95</v>
      </c>
      <c r="E80" s="65">
        <v>2</v>
      </c>
      <c r="F80" s="66">
        <f t="shared" si="4"/>
        <v>190</v>
      </c>
      <c r="G80" s="65">
        <v>12</v>
      </c>
      <c r="H80" s="66">
        <f t="shared" si="5"/>
        <v>15.83</v>
      </c>
    </row>
    <row r="81" spans="3:8" x14ac:dyDescent="0.35">
      <c r="C81" s="67" t="s">
        <v>214</v>
      </c>
      <c r="D81" s="64">
        <v>6.49</v>
      </c>
      <c r="E81" s="65">
        <f>6*2</f>
        <v>12</v>
      </c>
      <c r="F81" s="66">
        <f t="shared" si="4"/>
        <v>77.88</v>
      </c>
      <c r="G81" s="65">
        <v>12</v>
      </c>
      <c r="H81" s="66">
        <f t="shared" si="5"/>
        <v>6.49</v>
      </c>
    </row>
    <row r="82" spans="3:8" x14ac:dyDescent="0.35">
      <c r="C82" s="67" t="s">
        <v>215</v>
      </c>
      <c r="D82" s="64">
        <v>35</v>
      </c>
      <c r="E82" s="65">
        <v>2</v>
      </c>
      <c r="F82" s="66">
        <f t="shared" si="4"/>
        <v>70</v>
      </c>
      <c r="G82" s="65">
        <v>30</v>
      </c>
      <c r="H82" s="66">
        <f t="shared" si="5"/>
        <v>2.33</v>
      </c>
    </row>
    <row r="83" spans="3:8" x14ac:dyDescent="0.35">
      <c r="C83" s="67" t="s">
        <v>216</v>
      </c>
      <c r="D83" s="64">
        <v>28</v>
      </c>
      <c r="E83" s="65">
        <v>2</v>
      </c>
      <c r="F83" s="66">
        <f t="shared" si="4"/>
        <v>56</v>
      </c>
      <c r="G83" s="65">
        <v>30</v>
      </c>
      <c r="H83" s="66">
        <f t="shared" si="5"/>
        <v>1.87</v>
      </c>
    </row>
    <row r="84" spans="3:8" x14ac:dyDescent="0.35">
      <c r="C84" s="67" t="s">
        <v>217</v>
      </c>
      <c r="D84" s="64">
        <v>35</v>
      </c>
      <c r="E84" s="65">
        <v>2</v>
      </c>
      <c r="F84" s="66">
        <f t="shared" si="4"/>
        <v>70</v>
      </c>
      <c r="G84" s="65">
        <v>30</v>
      </c>
      <c r="H84" s="66">
        <f t="shared" si="5"/>
        <v>2.33</v>
      </c>
    </row>
    <row r="85" spans="3:8" x14ac:dyDescent="0.35">
      <c r="C85" s="353" t="s">
        <v>35</v>
      </c>
      <c r="D85" s="353"/>
      <c r="E85" s="353"/>
      <c r="F85" s="353"/>
      <c r="G85" s="353"/>
      <c r="H85" s="68">
        <f>ROUND(SUM(H72:H84),2)</f>
        <v>58.31</v>
      </c>
    </row>
    <row r="86" spans="3:8" x14ac:dyDescent="0.35">
      <c r="C86" s="350" t="s">
        <v>135</v>
      </c>
      <c r="D86" s="351"/>
      <c r="E86" s="351"/>
      <c r="F86" s="351"/>
      <c r="G86" s="352"/>
      <c r="H86" s="68">
        <f>ROUND(((H85/8)),2)</f>
        <v>7.29</v>
      </c>
    </row>
  </sheetData>
  <mergeCells count="15">
    <mergeCell ref="C86:G86"/>
    <mergeCell ref="C46:H46"/>
    <mergeCell ref="C53:G53"/>
    <mergeCell ref="C54:G54"/>
    <mergeCell ref="C3:G3"/>
    <mergeCell ref="C5:G5"/>
    <mergeCell ref="C19:G19"/>
    <mergeCell ref="C35:H35"/>
    <mergeCell ref="C42:G42"/>
    <mergeCell ref="C43:G43"/>
    <mergeCell ref="C56:H56"/>
    <mergeCell ref="C66:G66"/>
    <mergeCell ref="C67:G67"/>
    <mergeCell ref="C70:H70"/>
    <mergeCell ref="C85:G85"/>
  </mergeCells>
  <pageMargins left="0.51181102362204722" right="0.51181102362204722" top="1.3779527559055118" bottom="1.1417322834645669" header="0.31496062992125984" footer="0.31496062992125984"/>
  <pageSetup paperSize="9" scale="56" orientation="portrait" horizontalDpi="1200" verticalDpi="12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A7B0B-50BE-427F-B55D-06155EDB8FC8}">
  <sheetPr>
    <pageSetUpPr fitToPage="1"/>
  </sheetPr>
  <dimension ref="C2:O31"/>
  <sheetViews>
    <sheetView showGridLines="0" tabSelected="1" zoomScale="70" zoomScaleNormal="70" zoomScaleSheetLayoutView="100" workbookViewId="0">
      <selection activeCell="G1" sqref="G1"/>
    </sheetView>
  </sheetViews>
  <sheetFormatPr defaultColWidth="9.1796875" defaultRowHeight="20.149999999999999" customHeight="1" x14ac:dyDescent="0.35"/>
  <cols>
    <col min="1" max="1" width="3.54296875" style="36" customWidth="1"/>
    <col min="2" max="2" width="0.81640625" style="36" customWidth="1"/>
    <col min="3" max="3" width="10.1796875" style="36" customWidth="1"/>
    <col min="4" max="4" width="49.1796875" style="36" customWidth="1"/>
    <col min="5" max="5" width="15.7265625" style="36" customWidth="1"/>
    <col min="6" max="6" width="19.453125" style="36" customWidth="1"/>
    <col min="7" max="8" width="15.7265625" style="36" customWidth="1"/>
    <col min="9" max="9" width="15" style="36" bestFit="1" customWidth="1"/>
    <col min="10" max="11" width="15.7265625" style="36" customWidth="1"/>
    <col min="12" max="12" width="18.6328125" style="36" bestFit="1" customWidth="1"/>
    <col min="13" max="13" width="15.54296875" style="3" customWidth="1"/>
    <col min="14" max="14" width="13.26953125" style="36" customWidth="1"/>
    <col min="15" max="16384" width="9.1796875" style="36"/>
  </cols>
  <sheetData>
    <row r="2" spans="3:15" ht="20.149999999999999" customHeight="1" thickBot="1" x14ac:dyDescent="0.4"/>
    <row r="3" spans="3:15" ht="20.149999999999999" customHeight="1" thickBot="1" x14ac:dyDescent="0.4">
      <c r="C3" s="258" t="s">
        <v>153</v>
      </c>
      <c r="D3" s="259"/>
      <c r="E3" s="259"/>
      <c r="F3" s="259"/>
      <c r="G3" s="259"/>
      <c r="H3" s="259"/>
      <c r="I3" s="259"/>
      <c r="J3" s="357" t="s">
        <v>323</v>
      </c>
      <c r="K3" s="358"/>
      <c r="L3" s="359"/>
    </row>
    <row r="4" spans="3:15" ht="36" customHeight="1" x14ac:dyDescent="0.35">
      <c r="C4" s="35" t="s">
        <v>115</v>
      </c>
      <c r="D4" s="35" t="s">
        <v>59</v>
      </c>
      <c r="E4" s="39" t="s">
        <v>60</v>
      </c>
      <c r="F4" s="39" t="s">
        <v>114</v>
      </c>
      <c r="G4" s="39" t="s">
        <v>58</v>
      </c>
      <c r="H4" s="39" t="s">
        <v>61</v>
      </c>
      <c r="I4" s="39" t="s">
        <v>62</v>
      </c>
      <c r="J4" s="202" t="s">
        <v>58</v>
      </c>
      <c r="K4" s="202" t="s">
        <v>61</v>
      </c>
      <c r="L4" s="202" t="s">
        <v>62</v>
      </c>
    </row>
    <row r="5" spans="3:15" ht="32.25" customHeight="1" x14ac:dyDescent="0.35">
      <c r="C5" s="17">
        <v>1</v>
      </c>
      <c r="D5" s="30" t="s">
        <v>137</v>
      </c>
      <c r="E5" s="38">
        <v>1</v>
      </c>
      <c r="F5" s="38">
        <f>E5*2</f>
        <v>2</v>
      </c>
      <c r="G5" s="26">
        <f ca="1">ROUND('vdd 2 a 6 I'!I135,2)</f>
        <v>15064.58</v>
      </c>
      <c r="H5" s="26">
        <f ca="1">ROUND(E5*G5,2)</f>
        <v>15064.58</v>
      </c>
      <c r="I5" s="26">
        <f ca="1">ROUND(12*H5,2)</f>
        <v>180774.96</v>
      </c>
      <c r="J5" s="199">
        <f ca="1">ROUND('vdd 2 a 6 I'!K135,2)</f>
        <v>16291.1</v>
      </c>
      <c r="K5" s="199">
        <f ca="1">ROUND(E5*J5,2)</f>
        <v>16291.1</v>
      </c>
      <c r="L5" s="199">
        <f ca="1">ROUND(12*K5,2)</f>
        <v>195493.2</v>
      </c>
    </row>
    <row r="6" spans="3:15" ht="35.15" customHeight="1" x14ac:dyDescent="0.35">
      <c r="C6" s="17">
        <v>2</v>
      </c>
      <c r="D6" s="30" t="s">
        <v>138</v>
      </c>
      <c r="E6" s="38">
        <v>2</v>
      </c>
      <c r="F6" s="38">
        <f>E6*2</f>
        <v>4</v>
      </c>
      <c r="G6" s="26">
        <f ca="1">ROUND('vdd I'!I135,2)</f>
        <v>15553.76</v>
      </c>
      <c r="H6" s="26">
        <f ca="1">ROUND(E6*G6,2)</f>
        <v>31107.52</v>
      </c>
      <c r="I6" s="26">
        <f ca="1">ROUND(12*H6,2)</f>
        <v>373290.23999999999</v>
      </c>
      <c r="J6" s="199">
        <f ca="1">ROUND('vdd I'!K135,2)</f>
        <v>16959.560000000001</v>
      </c>
      <c r="K6" s="199">
        <f ca="1">ROUND(E6*J6,2)</f>
        <v>33919.120000000003</v>
      </c>
      <c r="L6" s="199">
        <f ca="1">ROUND(12*K6,2)</f>
        <v>407029.44</v>
      </c>
    </row>
    <row r="7" spans="3:15" ht="35.15" customHeight="1" x14ac:dyDescent="0.35">
      <c r="C7" s="17">
        <v>3</v>
      </c>
      <c r="D7" s="30" t="s">
        <v>145</v>
      </c>
      <c r="E7" s="38">
        <v>1</v>
      </c>
      <c r="F7" s="38">
        <f>E7*2</f>
        <v>2</v>
      </c>
      <c r="G7" s="26">
        <f ca="1">ROUND('vdn I '!I135,2)</f>
        <v>17011.259999999998</v>
      </c>
      <c r="H7" s="26">
        <f ca="1">ROUND(E7*G7,2)</f>
        <v>17011.259999999998</v>
      </c>
      <c r="I7" s="26">
        <f ca="1">ROUND(12*H7,2)</f>
        <v>204135.12</v>
      </c>
      <c r="J7" s="199">
        <f ca="1">ROUND('vdn I '!K135,2)</f>
        <v>18489.919999999998</v>
      </c>
      <c r="K7" s="199">
        <f ca="1">ROUND(E7*J7,2)</f>
        <v>18489.919999999998</v>
      </c>
      <c r="L7" s="199">
        <f ca="1">ROUND(12*K7,2)</f>
        <v>221879.04000000001</v>
      </c>
    </row>
    <row r="8" spans="3:15" ht="35.15" customHeight="1" x14ac:dyDescent="0.35">
      <c r="C8" s="17">
        <v>4</v>
      </c>
      <c r="D8" s="30" t="s">
        <v>146</v>
      </c>
      <c r="E8" s="38">
        <v>2</v>
      </c>
      <c r="F8" s="38">
        <f>E8*2</f>
        <v>4</v>
      </c>
      <c r="G8" s="26">
        <f ca="1">ROUND('vda II'!I135,2)</f>
        <v>15580.64</v>
      </c>
      <c r="H8" s="26">
        <f ca="1">ROUND(E8*G8,2)</f>
        <v>31161.279999999999</v>
      </c>
      <c r="I8" s="26">
        <f ca="1">ROUND(12*H8,2)</f>
        <v>373935.35999999999</v>
      </c>
      <c r="J8" s="199">
        <f ca="1">ROUND('vda II'!K135,2)</f>
        <v>16986.419999999998</v>
      </c>
      <c r="K8" s="199">
        <f ca="1">ROUND(E8*J8,2)</f>
        <v>33972.839999999997</v>
      </c>
      <c r="L8" s="199">
        <f ca="1">ROUND(12*K8,2)</f>
        <v>407674.08</v>
      </c>
    </row>
    <row r="9" spans="3:15" ht="35.15" customHeight="1" x14ac:dyDescent="0.35">
      <c r="C9" s="17">
        <v>5</v>
      </c>
      <c r="D9" s="30" t="s">
        <v>139</v>
      </c>
      <c r="E9" s="38">
        <v>2</v>
      </c>
      <c r="F9" s="38">
        <f>E9*2</f>
        <v>4</v>
      </c>
      <c r="G9" s="26">
        <f ca="1">ROUND('vna II'!I135,2)</f>
        <v>17038.080000000002</v>
      </c>
      <c r="H9" s="26">
        <f ca="1">ROUND(E9*G9,2)</f>
        <v>34076.160000000003</v>
      </c>
      <c r="I9" s="26">
        <f ca="1">ROUND(12*H9,2)</f>
        <v>408913.91999999998</v>
      </c>
      <c r="J9" s="199">
        <f ca="1">ROUND('vna II'!K135,2)</f>
        <v>18516.759999999998</v>
      </c>
      <c r="K9" s="199">
        <f ca="1">ROUND(E9*J9,2)</f>
        <v>37033.519999999997</v>
      </c>
      <c r="L9" s="199">
        <f ca="1">ROUND(12*K9,2)</f>
        <v>444402.24</v>
      </c>
    </row>
    <row r="10" spans="3:15" ht="35.15" customHeight="1" x14ac:dyDescent="0.35">
      <c r="C10" s="258" t="s">
        <v>35</v>
      </c>
      <c r="D10" s="260"/>
      <c r="E10" s="39">
        <f>SUM(E5:E9)</f>
        <v>8</v>
      </c>
      <c r="F10" s="39">
        <f>SUM(F5:F9)</f>
        <v>16</v>
      </c>
      <c r="G10" s="26"/>
      <c r="H10" s="27">
        <f ca="1">ROUND(SUM(H5:H9),2)</f>
        <v>128420.8</v>
      </c>
      <c r="I10" s="28">
        <f ca="1">ROUND(SUM(I5:I9),2)</f>
        <v>1541049.6</v>
      </c>
      <c r="J10" s="199"/>
      <c r="K10" s="200">
        <f ca="1">ROUND(SUM(K5:K9),2)</f>
        <v>139706.5</v>
      </c>
      <c r="L10" s="201">
        <f ca="1">ROUND(SUM(L5:L9),2)</f>
        <v>1676478</v>
      </c>
    </row>
    <row r="11" spans="3:15" ht="20.149999999999999" customHeight="1" x14ac:dyDescent="0.35">
      <c r="G11" s="3"/>
      <c r="H11" s="3"/>
      <c r="J11" s="3"/>
      <c r="K11" s="3"/>
      <c r="M11" s="25"/>
      <c r="N11" s="37"/>
    </row>
    <row r="12" spans="3:15" ht="20.149999999999999" customHeight="1" x14ac:dyDescent="0.35"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25"/>
      <c r="N12" s="33"/>
      <c r="O12" s="34"/>
    </row>
    <row r="13" spans="3:15" ht="20.149999999999999" customHeight="1" x14ac:dyDescent="0.35">
      <c r="C13" s="360" t="s">
        <v>222</v>
      </c>
      <c r="D13" s="360"/>
      <c r="E13" s="360"/>
      <c r="F13" s="360"/>
      <c r="G13" s="360"/>
      <c r="H13" s="360"/>
      <c r="I13" s="360"/>
      <c r="J13" s="29"/>
      <c r="K13" s="3"/>
      <c r="L13" s="3"/>
      <c r="N13" s="33"/>
      <c r="O13" s="34"/>
    </row>
    <row r="14" spans="3:15" ht="20.149999999999999" customHeight="1" x14ac:dyDescent="0.35">
      <c r="C14" s="360"/>
      <c r="D14" s="360"/>
      <c r="E14" s="360"/>
      <c r="F14" s="360"/>
      <c r="G14" s="360"/>
      <c r="H14" s="360"/>
      <c r="I14" s="360"/>
      <c r="J14" s="356" t="s">
        <v>327</v>
      </c>
      <c r="K14" s="356"/>
      <c r="L14" s="356"/>
      <c r="M14" s="356"/>
    </row>
    <row r="15" spans="3:15" ht="20.149999999999999" customHeight="1" x14ac:dyDescent="0.35">
      <c r="J15" s="208" t="s">
        <v>328</v>
      </c>
      <c r="K15" s="208" t="s">
        <v>329</v>
      </c>
      <c r="L15" s="208" t="s">
        <v>330</v>
      </c>
      <c r="M15" s="207" t="s">
        <v>331</v>
      </c>
    </row>
    <row r="16" spans="3:15" ht="20.149999999999999" customHeight="1" x14ac:dyDescent="0.35">
      <c r="J16" s="203" t="s">
        <v>333</v>
      </c>
      <c r="K16" s="3">
        <f ca="1">H10/30*11</f>
        <v>47087.626666666671</v>
      </c>
      <c r="L16" s="204">
        <f ca="1">K10/30*11</f>
        <v>51225.716666666667</v>
      </c>
      <c r="M16" s="3">
        <f t="shared" ref="M16:M29" ca="1" si="0">L16-K16</f>
        <v>4138.0899999999965</v>
      </c>
    </row>
    <row r="17" spans="3:13" ht="20.149999999999999" customHeight="1" x14ac:dyDescent="0.35">
      <c r="C17" s="265" t="s">
        <v>120</v>
      </c>
      <c r="D17" s="265"/>
      <c r="E17" s="265"/>
      <c r="F17" s="265"/>
      <c r="G17" s="265"/>
      <c r="H17" s="265"/>
      <c r="I17" s="265"/>
      <c r="J17" s="356" t="s">
        <v>324</v>
      </c>
      <c r="K17" s="356"/>
      <c r="L17" s="356"/>
      <c r="M17" s="207">
        <f ca="1">SUM(M16:M16)</f>
        <v>4138.0899999999965</v>
      </c>
    </row>
    <row r="18" spans="3:13" ht="20.149999999999999" customHeight="1" x14ac:dyDescent="0.35">
      <c r="C18" s="265" t="s">
        <v>101</v>
      </c>
      <c r="D18" s="265"/>
      <c r="E18" s="265"/>
      <c r="F18" s="265"/>
      <c r="G18" s="265"/>
      <c r="H18" s="265"/>
      <c r="I18" s="265"/>
      <c r="J18" s="203">
        <v>45931</v>
      </c>
      <c r="K18" s="204">
        <f ca="1">H10</f>
        <v>128420.8</v>
      </c>
      <c r="L18" s="204">
        <f ca="1">K10</f>
        <v>139706.5</v>
      </c>
      <c r="M18" s="3">
        <f t="shared" ca="1" si="0"/>
        <v>11285.699999999997</v>
      </c>
    </row>
    <row r="19" spans="3:13" ht="20.149999999999999" customHeight="1" x14ac:dyDescent="0.35">
      <c r="C19" s="360" t="s">
        <v>102</v>
      </c>
      <c r="D19" s="360"/>
      <c r="E19" s="360"/>
      <c r="F19" s="360"/>
      <c r="G19" s="360"/>
      <c r="H19" s="360"/>
      <c r="I19" s="360"/>
      <c r="J19" s="203">
        <v>45962</v>
      </c>
      <c r="K19" s="204">
        <f ca="1">K18</f>
        <v>128420.8</v>
      </c>
      <c r="L19" s="204">
        <f ca="1">L18</f>
        <v>139706.5</v>
      </c>
      <c r="M19" s="3">
        <f t="shared" ca="1" si="0"/>
        <v>11285.699999999997</v>
      </c>
    </row>
    <row r="20" spans="3:13" ht="20.149999999999999" customHeight="1" x14ac:dyDescent="0.35">
      <c r="C20" s="360"/>
      <c r="D20" s="360"/>
      <c r="E20" s="360"/>
      <c r="F20" s="360"/>
      <c r="G20" s="360"/>
      <c r="H20" s="360"/>
      <c r="I20" s="360"/>
      <c r="J20" s="203">
        <v>45992</v>
      </c>
      <c r="K20" s="204">
        <f t="shared" ref="K20:K28" ca="1" si="1">K19</f>
        <v>128420.8</v>
      </c>
      <c r="L20" s="204">
        <f t="shared" ref="L20:L28" ca="1" si="2">L19</f>
        <v>139706.5</v>
      </c>
      <c r="M20" s="3">
        <f t="shared" ca="1" si="0"/>
        <v>11285.699999999997</v>
      </c>
    </row>
    <row r="21" spans="3:13" ht="20.149999999999999" customHeight="1" x14ac:dyDescent="0.35">
      <c r="J21" s="203">
        <v>46023</v>
      </c>
      <c r="K21" s="204">
        <f t="shared" ca="1" si="1"/>
        <v>128420.8</v>
      </c>
      <c r="L21" s="204">
        <f t="shared" ca="1" si="2"/>
        <v>139706.5</v>
      </c>
      <c r="M21" s="3">
        <f t="shared" ca="1" si="0"/>
        <v>11285.699999999997</v>
      </c>
    </row>
    <row r="22" spans="3:13" ht="20.149999999999999" customHeight="1" x14ac:dyDescent="0.35">
      <c r="J22" s="203">
        <v>46054</v>
      </c>
      <c r="K22" s="204">
        <f t="shared" ca="1" si="1"/>
        <v>128420.8</v>
      </c>
      <c r="L22" s="204">
        <f t="shared" ca="1" si="2"/>
        <v>139706.5</v>
      </c>
      <c r="M22" s="3">
        <f t="shared" ca="1" si="0"/>
        <v>11285.699999999997</v>
      </c>
    </row>
    <row r="23" spans="3:13" ht="20.149999999999999" customHeight="1" x14ac:dyDescent="0.35">
      <c r="J23" s="203">
        <v>46082</v>
      </c>
      <c r="K23" s="204">
        <f t="shared" ca="1" si="1"/>
        <v>128420.8</v>
      </c>
      <c r="L23" s="204">
        <f t="shared" ca="1" si="2"/>
        <v>139706.5</v>
      </c>
      <c r="M23" s="3">
        <f t="shared" ca="1" si="0"/>
        <v>11285.699999999997</v>
      </c>
    </row>
    <row r="24" spans="3:13" ht="20.149999999999999" customHeight="1" x14ac:dyDescent="0.35">
      <c r="J24" s="203">
        <v>46113</v>
      </c>
      <c r="K24" s="204">
        <f t="shared" ca="1" si="1"/>
        <v>128420.8</v>
      </c>
      <c r="L24" s="204">
        <f t="shared" ca="1" si="2"/>
        <v>139706.5</v>
      </c>
      <c r="M24" s="3">
        <f t="shared" ca="1" si="0"/>
        <v>11285.699999999997</v>
      </c>
    </row>
    <row r="25" spans="3:13" ht="20.149999999999999" customHeight="1" x14ac:dyDescent="0.35">
      <c r="J25" s="203">
        <v>46143</v>
      </c>
      <c r="K25" s="204">
        <f t="shared" ca="1" si="1"/>
        <v>128420.8</v>
      </c>
      <c r="L25" s="204">
        <f t="shared" ca="1" si="2"/>
        <v>139706.5</v>
      </c>
      <c r="M25" s="3">
        <f t="shared" ca="1" si="0"/>
        <v>11285.699999999997</v>
      </c>
    </row>
    <row r="26" spans="3:13" ht="20.149999999999999" customHeight="1" x14ac:dyDescent="0.35">
      <c r="J26" s="203">
        <v>46174</v>
      </c>
      <c r="K26" s="204">
        <f t="shared" ca="1" si="1"/>
        <v>128420.8</v>
      </c>
      <c r="L26" s="204">
        <f t="shared" ca="1" si="2"/>
        <v>139706.5</v>
      </c>
      <c r="M26" s="3">
        <f t="shared" ca="1" si="0"/>
        <v>11285.699999999997</v>
      </c>
    </row>
    <row r="27" spans="3:13" ht="20.149999999999999" customHeight="1" x14ac:dyDescent="0.35">
      <c r="J27" s="203">
        <v>46204</v>
      </c>
      <c r="K27" s="204">
        <f t="shared" ca="1" si="1"/>
        <v>128420.8</v>
      </c>
      <c r="L27" s="204">
        <f t="shared" ca="1" si="2"/>
        <v>139706.5</v>
      </c>
      <c r="M27" s="3">
        <f t="shared" ca="1" si="0"/>
        <v>11285.699999999997</v>
      </c>
    </row>
    <row r="28" spans="3:13" ht="20.149999999999999" customHeight="1" x14ac:dyDescent="0.35">
      <c r="J28" s="203">
        <v>46235</v>
      </c>
      <c r="K28" s="204">
        <f t="shared" ca="1" si="1"/>
        <v>128420.8</v>
      </c>
      <c r="L28" s="204">
        <f t="shared" ca="1" si="2"/>
        <v>139706.5</v>
      </c>
      <c r="M28" s="3">
        <f t="shared" ca="1" si="0"/>
        <v>11285.699999999997</v>
      </c>
    </row>
    <row r="29" spans="3:13" ht="20.149999999999999" customHeight="1" x14ac:dyDescent="0.35">
      <c r="J29" s="203" t="s">
        <v>332</v>
      </c>
      <c r="K29" s="204">
        <f ca="1">K28/30*19</f>
        <v>81333.17333333334</v>
      </c>
      <c r="L29" s="204">
        <f ca="1">L28/30*19</f>
        <v>88480.783333333326</v>
      </c>
      <c r="M29" s="3">
        <f t="shared" ca="1" si="0"/>
        <v>7147.609999999986</v>
      </c>
    </row>
    <row r="30" spans="3:13" ht="20.149999999999999" customHeight="1" x14ac:dyDescent="0.35">
      <c r="J30" s="356" t="s">
        <v>325</v>
      </c>
      <c r="K30" s="356"/>
      <c r="L30" s="356"/>
      <c r="M30" s="207">
        <f ca="1">SUM(M18:M29)</f>
        <v>131290.30999999994</v>
      </c>
    </row>
    <row r="31" spans="3:13" ht="20.149999999999999" customHeight="1" x14ac:dyDescent="0.35">
      <c r="J31" s="356" t="s">
        <v>326</v>
      </c>
      <c r="K31" s="356"/>
      <c r="L31" s="356"/>
      <c r="M31" s="207">
        <f ca="1">M30+M17</f>
        <v>135428.39999999994</v>
      </c>
    </row>
  </sheetData>
  <mergeCells count="13">
    <mergeCell ref="C3:I3"/>
    <mergeCell ref="C14:I14"/>
    <mergeCell ref="C17:I17"/>
    <mergeCell ref="C20:I20"/>
    <mergeCell ref="C13:I13"/>
    <mergeCell ref="C10:D10"/>
    <mergeCell ref="C18:I18"/>
    <mergeCell ref="C19:I19"/>
    <mergeCell ref="J17:L17"/>
    <mergeCell ref="J30:L30"/>
    <mergeCell ref="J31:L31"/>
    <mergeCell ref="J14:M14"/>
    <mergeCell ref="J3:L3"/>
  </mergeCells>
  <phoneticPr fontId="1" type="noConversion"/>
  <printOptions horizontalCentered="1"/>
  <pageMargins left="0.9055118110236221" right="0.70866141732283472" top="1.3779527559055118" bottom="0.98425196850393704" header="0.31496062992125984" footer="0.31496062992125984"/>
  <pageSetup paperSize="9" scale="53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9</vt:i4>
      </vt:variant>
    </vt:vector>
  </HeadingPairs>
  <TitlesOfParts>
    <vt:vector size="18" baseType="lpstr">
      <vt:lpstr>Proposta</vt:lpstr>
      <vt:lpstr>vdd 2 a 6 I</vt:lpstr>
      <vt:lpstr>vdd I</vt:lpstr>
      <vt:lpstr>vdn I </vt:lpstr>
      <vt:lpstr>vda II</vt:lpstr>
      <vt:lpstr>vna II</vt:lpstr>
      <vt:lpstr>mc</vt:lpstr>
      <vt:lpstr>unif equip</vt:lpstr>
      <vt:lpstr>resumo</vt:lpstr>
      <vt:lpstr>mc!Area_de_impressao</vt:lpstr>
      <vt:lpstr>Proposta!Area_de_impressao</vt:lpstr>
      <vt:lpstr>resumo!Area_de_impressao</vt:lpstr>
      <vt:lpstr>'unif equip'!Area_de_impressao</vt:lpstr>
      <vt:lpstr>'vda II'!Area_de_impressao</vt:lpstr>
      <vt:lpstr>'vdd 2 a 6 I'!Area_de_impressao</vt:lpstr>
      <vt:lpstr>'vdd I'!Area_de_impressao</vt:lpstr>
      <vt:lpstr>'vdn I '!Area_de_impressao</vt:lpstr>
      <vt:lpstr>'vna II'!Area_de_impressao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cpu03</dc:creator>
  <cp:lastModifiedBy>Levi Fernandes de Souza</cp:lastModifiedBy>
  <cp:lastPrinted>2025-09-02T14:30:51Z</cp:lastPrinted>
  <dcterms:created xsi:type="dcterms:W3CDTF">2011-04-13T14:33:24Z</dcterms:created>
  <dcterms:modified xsi:type="dcterms:W3CDTF">2025-10-15T12:40:49Z</dcterms:modified>
</cp:coreProperties>
</file>