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c.sharepoint.com/sites/GEIT-Servidores/Documentos Compartilhados/General/Contratações/2025/Storage/"/>
    </mc:Choice>
  </mc:AlternateContent>
  <xr:revisionPtr revIDLastSave="1320" documentId="8_{1C58B4DC-CDF3-4A86-89BA-E118AC0EE812}" xr6:coauthVersionLast="47" xr6:coauthVersionMax="47" xr10:uidLastSave="{7B375B1C-1C67-469D-8860-F2E256ECC5C1}"/>
  <bookViews>
    <workbookView xWindow="-120" yWindow="-120" windowWidth="29040" windowHeight="15720" firstSheet="1" activeTab="6" xr2:uid="{CE95780A-1E6F-431B-B987-F2EDAA7D57E6}"/>
  </bookViews>
  <sheets>
    <sheet name="Resumo com Médias" sheetId="4" r:id="rId1"/>
    <sheet name="Resumo" sheetId="1" r:id="rId2"/>
    <sheet name="Painel de Compras" sheetId="2" r:id="rId3"/>
    <sheet name="Painel de Compras-Filtro" sheetId="3" r:id="rId4"/>
    <sheet name="Propostas" sheetId="5" r:id="rId5"/>
    <sheet name="Treinamento" sheetId="6" r:id="rId6"/>
    <sheet name="Nova_Pesquisa_Agosto25" sheetId="7" r:id="rId7"/>
  </sheets>
  <definedNames>
    <definedName name="_xlnm._FilterDatabase" localSheetId="1" hidden="1">Resumo!$A$1:$M$19</definedName>
    <definedName name="_xlnm._FilterDatabase" localSheetId="0" hidden="1">'Resumo com Médias'!$A$1:$M$8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7" l="1"/>
  <c r="I5" i="7"/>
  <c r="K5" i="7" s="1"/>
  <c r="F6" i="5"/>
  <c r="L13" i="4"/>
  <c r="I6" i="7"/>
  <c r="I4" i="7"/>
  <c r="K4" i="7" s="1"/>
  <c r="H4" i="7"/>
  <c r="I3" i="7" l="1"/>
  <c r="K3" i="7" s="1"/>
  <c r="I2" i="7"/>
  <c r="K2" i="7" s="1"/>
  <c r="G6" i="5" l="1"/>
  <c r="K4" i="6"/>
  <c r="K3" i="6"/>
  <c r="E8" i="6"/>
  <c r="E7" i="6"/>
  <c r="E6" i="6"/>
  <c r="F5" i="6"/>
  <c r="F4" i="6"/>
  <c r="F3" i="6"/>
  <c r="F2" i="6"/>
  <c r="J12" i="4"/>
  <c r="L12" i="4" s="1"/>
  <c r="M12" i="4" s="1"/>
  <c r="H11" i="4"/>
  <c r="J11" i="4" s="1"/>
  <c r="L11" i="4" s="1"/>
  <c r="M11" i="4" s="1"/>
  <c r="H10" i="4"/>
  <c r="J10" i="4" s="1"/>
  <c r="L10" i="4" s="1"/>
  <c r="M10" i="4" s="1"/>
  <c r="H9" i="4"/>
  <c r="J9" i="4" s="1"/>
  <c r="L9" i="4" s="1"/>
  <c r="M9" i="4" s="1"/>
  <c r="J8" i="4"/>
  <c r="L8" i="4" s="1"/>
  <c r="M8" i="4" s="1"/>
  <c r="J7" i="4"/>
  <c r="L7" i="4" s="1"/>
  <c r="M7" i="4" s="1"/>
  <c r="J6" i="4"/>
  <c r="L6" i="4" s="1"/>
  <c r="M6" i="4" s="1"/>
  <c r="J5" i="4"/>
  <c r="L5" i="4" s="1"/>
  <c r="M5" i="4" s="1"/>
  <c r="J4" i="4"/>
  <c r="L4" i="4" s="1"/>
  <c r="M4" i="4" s="1"/>
  <c r="M13" i="4" s="1"/>
  <c r="J3" i="4"/>
  <c r="L3" i="4" s="1"/>
  <c r="M3" i="4" s="1"/>
  <c r="J2" i="4"/>
  <c r="L2" i="4" s="1"/>
  <c r="M2" i="4" s="1"/>
  <c r="N2" i="1"/>
  <c r="M4" i="1"/>
  <c r="M5" i="1"/>
  <c r="N13" i="1"/>
  <c r="M18" i="1"/>
  <c r="M17" i="1"/>
  <c r="M16" i="1"/>
  <c r="M14" i="1"/>
  <c r="M13" i="1"/>
  <c r="L3" i="1"/>
  <c r="L4" i="1"/>
  <c r="L5" i="1"/>
  <c r="L6" i="1"/>
  <c r="M2" i="1"/>
  <c r="L2" i="1"/>
  <c r="M3" i="1"/>
  <c r="J2" i="1"/>
  <c r="J19" i="1"/>
  <c r="L19" i="1" s="1"/>
  <c r="M19" i="1" s="1"/>
  <c r="J18" i="1"/>
  <c r="L18" i="1" s="1"/>
  <c r="J17" i="1"/>
  <c r="L17" i="1" s="1"/>
  <c r="J16" i="1"/>
  <c r="L16" i="1" s="1"/>
  <c r="J6" i="1"/>
  <c r="J5" i="1"/>
  <c r="J4" i="1"/>
  <c r="J3" i="1"/>
  <c r="J15" i="1"/>
  <c r="L15" i="1" s="1"/>
  <c r="J14" i="1"/>
  <c r="L14" i="1" s="1"/>
  <c r="J13" i="1"/>
  <c r="L13" i="1" s="1"/>
  <c r="H12" i="1" l="1"/>
  <c r="H11" i="1"/>
  <c r="H10" i="1"/>
</calcChain>
</file>

<file path=xl/sharedStrings.xml><?xml version="1.0" encoding="utf-8"?>
<sst xmlns="http://schemas.openxmlformats.org/spreadsheetml/2006/main" count="458" uniqueCount="232">
  <si>
    <t>Empresa</t>
  </si>
  <si>
    <t>Item</t>
  </si>
  <si>
    <t>IntersoftTI</t>
  </si>
  <si>
    <t>Renovação de Suporte Técnico para 02 equipamentos HUAWEI OceanStore 5000 com 212 TB de capacidade cada pelo período de 15/05/2024 até 30/06/2025</t>
  </si>
  <si>
    <t>Cenário</t>
  </si>
  <si>
    <t>Solução 01</t>
  </si>
  <si>
    <t>Solução 02</t>
  </si>
  <si>
    <t>América</t>
  </si>
  <si>
    <t>Suporte e Manutenção pelo período de 60 meses para 02 equipamentos HUAWEI OceanStore 5000 com 212 TB de capacidade cada</t>
  </si>
  <si>
    <t>Solução 03</t>
  </si>
  <si>
    <t>Descrição</t>
  </si>
  <si>
    <t>Pregão</t>
  </si>
  <si>
    <t>Zoom Tecnologia</t>
  </si>
  <si>
    <t>AQUISIÇÃO de Subsistema de Discos Midrange All Flash
NVMe – 600 TB
MARCA: Huawei
MODELO: OceanStor Dorado 5000 V6</t>
  </si>
  <si>
    <t>Valor Unitário</t>
  </si>
  <si>
    <t>Valor Total</t>
  </si>
  <si>
    <t>Unidade</t>
  </si>
  <si>
    <t>12 meses</t>
  </si>
  <si>
    <t>60 meses</t>
  </si>
  <si>
    <t>TJAC</t>
  </si>
  <si>
    <t>Serviço de manutenção preventiva e corretiva de hardware, incluindo o fornecimento de peças, componentes e acessórios de reposição para 02 (dois) equipamentos Storage Huawei V5300 V, pelo período de 12 meses.</t>
  </si>
  <si>
    <t>24 meses</t>
  </si>
  <si>
    <t>Conselho da Justiça Federal</t>
  </si>
  <si>
    <t>Servix</t>
  </si>
  <si>
    <t>Órgão</t>
  </si>
  <si>
    <t>-</t>
  </si>
  <si>
    <t>037/2023</t>
  </si>
  <si>
    <t>TJBA</t>
  </si>
  <si>
    <t>39/2021</t>
  </si>
  <si>
    <t xml:space="preserve"> Prestação serviços de manutenção corretiva e preventiva do equipamento Storage Netapp FAS-9000 como extensão da garantia, incluindo serviço de suporte técnico, atualização de firmwares, dos sistemas operacionais e de versões dos softwares de gerência.</t>
  </si>
  <si>
    <t>Proposta Comercial / 02 Equipamentos</t>
  </si>
  <si>
    <t>116/2022</t>
  </si>
  <si>
    <t>232/2023</t>
  </si>
  <si>
    <t>SERPRO</t>
  </si>
  <si>
    <t>Conselho da Justiça Federal - Pregão 39/2021. 01 equipamento com aproximadamente 640 Tb. NetApp FAS-9000</t>
  </si>
  <si>
    <t>TJAC - Licitação abandonada após adjudicação. Equipamento maior. HUAWEI. Discos SSD: 25
Discos SAS: 175
Discos NLSAS: 24</t>
  </si>
  <si>
    <t>38/2021</t>
  </si>
  <si>
    <t>TRT 18</t>
  </si>
  <si>
    <t xml:space="preserve">Serviço de garantia e suporte técnico(Broker) do Storage NetApp, modelo FAS2650 com 48 x 900 GB e 36 x 4TB </t>
  </si>
  <si>
    <t xml:space="preserve">Serviço de garantia e suporte técnico(Broker) do Storage IBM modelo Storwize V5000 com 67 x 600GB SAS, 29 x 800GB SSD e 24 x 4TB SAS </t>
  </si>
  <si>
    <t>30 meses</t>
  </si>
  <si>
    <t xml:space="preserve">Serviço de garantia e suporte técnico(Broker) do Storage IBM modelo Storwize V5000 com 24 x 600GB SAS, 24 x 4TB SAS </t>
  </si>
  <si>
    <t>Serviço de garantia e suporte técnico(Broker) do Storage IBM modelo Storwize V5000 com 24 x 600GB SAS</t>
  </si>
  <si>
    <t>NetApp 180 TB</t>
  </si>
  <si>
    <t>IBM 160 TB</t>
  </si>
  <si>
    <t>IBM 110 TB</t>
  </si>
  <si>
    <t>IBM 14 TB</t>
  </si>
  <si>
    <t>448/2023</t>
  </si>
  <si>
    <t>Serviços de Manutenção e Suporte técnico de Subsistemas de Discos All Flash 320 TB - HUAWEI OceanStor 6800F</t>
  </si>
  <si>
    <t>21/2023</t>
  </si>
  <si>
    <t>TRF4</t>
  </si>
  <si>
    <t>AQUISIÇÃO de Subsistema de Discos Midrange All Flash
NVMe – 342 TB
MARCA: Huawei
MODELO: OceanStor Dorado 5000 V6</t>
  </si>
  <si>
    <t xml:space="preserve"> Valor do Suporte não está seprado. HUAWEI MODELO: OceanStor Dorado 5000 V6. Garantia de 60 meses</t>
  </si>
  <si>
    <t>Contratação de serviço continuado de Suporte Técnico do Storage Huawei OceanStor Dorado 5000 v3, incluindo a atualização e evolução tecnológica para o servidor de armazenamento no Tribunal de Justiça do Estado da Bahia - TJBA, conforme exigências estabelecidas neste documento e seus anexos. 1 PB</t>
  </si>
  <si>
    <t>Adjudicado em 02/10/2023. 1 PB. Snap License, HyperReplication License,  UltraPath Software License, HyperMetro License(For SAN), Clone License, Basic Software License</t>
  </si>
  <si>
    <t>Valor por TB</t>
  </si>
  <si>
    <t>Ministério da Cultura</t>
  </si>
  <si>
    <t>12/2023</t>
  </si>
  <si>
    <t>WisePath</t>
  </si>
  <si>
    <r>
      <t xml:space="preserve">O equipamento VSP E 1090 possui as seguintes características: • 2 Controladoras ativo x ativo simétrico; • Configuração totalmente NVMe com </t>
    </r>
    <r>
      <rPr>
        <b/>
        <sz val="11"/>
        <color theme="1"/>
        <rFont val="Calibri"/>
        <family val="2"/>
        <scheme val="minor"/>
      </rPr>
      <t>240TiB</t>
    </r>
    <r>
      <rPr>
        <sz val="11"/>
        <color theme="1"/>
        <rFont val="Calibri"/>
        <family val="2"/>
        <scheme val="minor"/>
      </rPr>
      <t xml:space="preserve"> de capacidade em RAID 6 sem considerar ganhos de desduplicação e compressão de dados; • 32 portas de 32Gbps FC; • 1024 GB de memória cache; • Funcionalidades de: • Desduplicação e compressão; • Snapshots e clones; • Criptografia de dados • Imutabilidade de dados (proteção contra Ransomware); • Software de multipath; • Software de gerenciamento; • </t>
    </r>
    <r>
      <rPr>
        <b/>
        <sz val="11"/>
        <color theme="1"/>
        <rFont val="Calibri"/>
        <family val="2"/>
        <scheme val="minor"/>
      </rPr>
      <t>60 meses de garantia do fabricante em regime 24x7</t>
    </r>
  </si>
  <si>
    <r>
      <t xml:space="preserve">Homologado (fracassado). </t>
    </r>
    <r>
      <rPr>
        <b/>
        <sz val="11"/>
        <rFont val="Calibri"/>
        <family val="2"/>
        <scheme val="minor"/>
      </rPr>
      <t>Storage de Missão Crítica da HUAWEI.</t>
    </r>
  </si>
  <si>
    <t>Tipo painel:</t>
  </si>
  <si>
    <t>MATERIAIS</t>
  </si>
  <si>
    <t>Quantidade total de registros:</t>
  </si>
  <si>
    <t>Registros apresentados:</t>
  </si>
  <si>
    <t>1 a 11</t>
  </si>
  <si>
    <t>Filtros:</t>
  </si>
  <si>
    <t xml:space="preserve">Código Material/Serviço :  404135 </t>
  </si>
  <si>
    <t xml:space="preserve"> Ano da Compra :  2023, 2024 </t>
  </si>
  <si>
    <t>Identificação da Compra</t>
  </si>
  <si>
    <t>Número do Item</t>
  </si>
  <si>
    <t>Modalidade</t>
  </si>
  <si>
    <t>Código do CATMAT</t>
  </si>
  <si>
    <t>Unidade de Fornecimento</t>
  </si>
  <si>
    <t>Quantidade Ofertada</t>
  </si>
  <si>
    <t>Fornecedor</t>
  </si>
  <si>
    <t>UASG - Unidade Gestora</t>
  </si>
  <si>
    <t>Data da Compra</t>
  </si>
  <si>
    <t>00009/2023</t>
  </si>
  <si>
    <t>00004</t>
  </si>
  <si>
    <t>"SERVIDOR ARQUIVO", TIPO:UNIDADE STORAGE, TAXA TRANSFERÊNCIA PLACA REDE:10/100/100 MBPS, CARACTERÍSTICAS ADICIONAIS:INTERFACE SAS, SATA, RAID 0,1,2,5,10 E 50, DISCO RÍGIDO:136 DISCO EM ESCALIBILIDADE</t>
  </si>
  <si>
    <t>UNIDADE</t>
  </si>
  <si>
    <t>1</t>
  </si>
  <si>
    <t>5000,00</t>
  </si>
  <si>
    <t>ELETRA TECNOLOGIA E INFORMATICA LTDA</t>
  </si>
  <si>
    <t>CONSELHO REGIONAL DE CORRETORES DE IMOVEIS-MT</t>
  </si>
  <si>
    <t>929707 - CONSELHO REGIONAL DE CORRETORES DE IMOVEIS-MT</t>
  </si>
  <si>
    <t>09/11/2023</t>
  </si>
  <si>
    <t>00006/2023</t>
  </si>
  <si>
    <t>00001</t>
  </si>
  <si>
    <t>685000,00</t>
  </si>
  <si>
    <t>COMPWIRE INFORMATICA LTDA</t>
  </si>
  <si>
    <t>SUPERINT.NACIONAL DE PREVIDENCIA COMPLEMENTAR</t>
  </si>
  <si>
    <t>333005 - COORDENAçãO GERAL DE PATRIMONIO E LOGISTICA</t>
  </si>
  <si>
    <t>00005/2023</t>
  </si>
  <si>
    <t>00002</t>
  </si>
  <si>
    <t>929624,14</t>
  </si>
  <si>
    <t>BULL LTDA</t>
  </si>
  <si>
    <t>MIN.DA GEST.E DA INOVACAO EM SERVICOS PUBLICO</t>
  </si>
  <si>
    <t>170607 - DIRETORIA DE ADMINISTRAÇÃO E LOGÍSTICA</t>
  </si>
  <si>
    <t>30/10/2023</t>
  </si>
  <si>
    <t>00012/2023</t>
  </si>
  <si>
    <t>00005</t>
  </si>
  <si>
    <t>3</t>
  </si>
  <si>
    <t>975000,00</t>
  </si>
  <si>
    <t>JAMC CONSULTORIA E REPRESENTACAO DE SOFTWARE LTDA</t>
  </si>
  <si>
    <t>MINISTERIO DA CULTURA - MINC</t>
  </si>
  <si>
    <t>420001 - SPOA/SE/MINC</t>
  </si>
  <si>
    <t>19/12/2023</t>
  </si>
  <si>
    <t>1855290,44</t>
  </si>
  <si>
    <t>2075890,48</t>
  </si>
  <si>
    <t>00019/2023</t>
  </si>
  <si>
    <t>2500000,00</t>
  </si>
  <si>
    <t>LTA-RH INFORMATICA, COMERCIO, REPRESENTACOES LTDA</t>
  </si>
  <si>
    <t>AGENCIA NACIONAL DE SAUDE SUPLEMENTAR</t>
  </si>
  <si>
    <t>253003 - AGENCIA NACIONAL DE SAUDE SUPLEMENTAR/MS</t>
  </si>
  <si>
    <t>18/12/2023</t>
  </si>
  <si>
    <t>00027/2023</t>
  </si>
  <si>
    <t>2589869,84</t>
  </si>
  <si>
    <t>DELL COMPUTADORES DO BRASIL LTDA</t>
  </si>
  <si>
    <t>COMANDO DA MARINHA</t>
  </si>
  <si>
    <t>740014 - CENTRO LOGISTICO DO MATERIAL DA MARINHA</t>
  </si>
  <si>
    <t>08/11/2023</t>
  </si>
  <si>
    <t>3200000,00</t>
  </si>
  <si>
    <t>WISEPATH TECNOLOGIA LTDA</t>
  </si>
  <si>
    <t>00003</t>
  </si>
  <si>
    <t>5119452,77</t>
  </si>
  <si>
    <t>00093/2023</t>
  </si>
  <si>
    <t>2</t>
  </si>
  <si>
    <t>5240320,00</t>
  </si>
  <si>
    <t>PROTECT4 SERVICOS EM TECNOLOGIA DA INFORMACAO LTDA</t>
  </si>
  <si>
    <t>SUPERIOR TRIBUNAL DE JUSTICA</t>
  </si>
  <si>
    <t>050001 - STJ _ SUPERIOR TRIBUNAL DE JUSTICA/DF</t>
  </si>
  <si>
    <t>28/11/2023</t>
  </si>
  <si>
    <t>PREVIC</t>
  </si>
  <si>
    <t>Vigência da ATA : até 18 de dezembro de 2024. Suporte de 60 meses. HITACHI.</t>
  </si>
  <si>
    <t>Todos os Softwares licenciados. Suporte de 60 meses. HUAWEI.</t>
  </si>
  <si>
    <t>HUAWEI</t>
  </si>
  <si>
    <t>PURE STORAGE</t>
  </si>
  <si>
    <t>MINISTÉRIO DA GESTÃO E DA INOVAÇÃO EM SERVIÇOS PÚBLICOS</t>
  </si>
  <si>
    <t>Unidade – Equipamento com 150 TB de armazenamento. Item 00002</t>
  </si>
  <si>
    <t>Unidade – Equipamento com 1000 TB de armazenamento. Item 0003</t>
  </si>
  <si>
    <t>Unidade – Equipamento com 300 TB de armazenamento. Item 0004</t>
  </si>
  <si>
    <t>Valor Previsto</t>
  </si>
  <si>
    <t>Necessidade ANAC (TB)</t>
  </si>
  <si>
    <t>CompWire</t>
  </si>
  <si>
    <r>
      <t xml:space="preserve">Storage SAN “All-Flash” NVMe Capacidade “líquida” </t>
    </r>
    <r>
      <rPr>
        <b/>
        <sz val="11"/>
        <color theme="1"/>
        <rFont val="Calibri"/>
        <family val="2"/>
        <scheme val="minor"/>
      </rPr>
      <t>100 TiB</t>
    </r>
    <r>
      <rPr>
        <sz val="11"/>
        <color theme="1"/>
        <rFont val="Calibri"/>
        <family val="2"/>
        <scheme val="minor"/>
      </rPr>
      <t xml:space="preserve"> baseados em RAID 6 com Discos SSD NVMe. Garantia/Suporte 60 meses. HUAWEI</t>
    </r>
  </si>
  <si>
    <t>Valor Previsto 05 Anos</t>
  </si>
  <si>
    <t>Médias</t>
  </si>
  <si>
    <t>90003/2024</t>
  </si>
  <si>
    <t>MPPR</t>
  </si>
  <si>
    <t>O2 Sistemas</t>
  </si>
  <si>
    <r>
      <t xml:space="preserve">Solução de Armazenamento “Storage” All Flash – </t>
    </r>
    <r>
      <rPr>
        <b/>
        <sz val="11"/>
        <color theme="1"/>
        <rFont val="Calibri"/>
        <family val="2"/>
        <scheme val="minor"/>
      </rPr>
      <t>255 TiB</t>
    </r>
    <r>
      <rPr>
        <sz val="11"/>
        <color theme="1"/>
        <rFont val="Calibri"/>
        <family val="2"/>
        <scheme val="minor"/>
      </rPr>
      <t>).</t>
    </r>
  </si>
  <si>
    <r>
      <t xml:space="preserve">Fabricante: IBM Modelo: FS9500. Suporte </t>
    </r>
    <r>
      <rPr>
        <b/>
        <sz val="11"/>
        <color theme="1"/>
        <rFont val="Calibri"/>
        <family val="2"/>
        <scheme val="minor"/>
      </rPr>
      <t>36 meses</t>
    </r>
  </si>
  <si>
    <r>
      <t xml:space="preserve">Todos os Softwares licenciados. </t>
    </r>
    <r>
      <rPr>
        <b/>
        <sz val="11"/>
        <color theme="1"/>
        <rFont val="Calibri"/>
        <family val="2"/>
        <scheme val="minor"/>
      </rPr>
      <t>Suporte de 60 meses</t>
    </r>
    <r>
      <rPr>
        <sz val="11"/>
        <color theme="1"/>
        <rFont val="Calibri"/>
        <family val="2"/>
        <scheme val="minor"/>
      </rPr>
      <t>. HUAWEI.</t>
    </r>
  </si>
  <si>
    <r>
      <t xml:space="preserve"> Valor do Suporte não está seprado. HUAWEI MODELO: OceanStor Dorado 5000 V6. </t>
    </r>
    <r>
      <rPr>
        <b/>
        <sz val="11"/>
        <color theme="1"/>
        <rFont val="Calibri"/>
        <family val="2"/>
        <scheme val="minor"/>
      </rPr>
      <t>Garantia de 60 meses</t>
    </r>
  </si>
  <si>
    <r>
      <t xml:space="preserve">Vigência da ATA : até 18 de dezembro de 2024. </t>
    </r>
    <r>
      <rPr>
        <b/>
        <sz val="11"/>
        <color theme="1"/>
        <rFont val="Calibri"/>
        <family val="2"/>
        <scheme val="minor"/>
      </rPr>
      <t>Suporte de 60 meses.</t>
    </r>
    <r>
      <rPr>
        <sz val="11"/>
        <color theme="1"/>
        <rFont val="Calibri"/>
        <family val="2"/>
        <scheme val="minor"/>
      </rPr>
      <t xml:space="preserve"> HITACHI.</t>
    </r>
  </si>
  <si>
    <r>
      <t xml:space="preserve">PURE STORAGE, suporte técnico e garanNa de funcionamento por </t>
    </r>
    <r>
      <rPr>
        <b/>
        <sz val="11"/>
        <color theme="1"/>
        <rFont val="Calibri"/>
        <family val="2"/>
        <scheme val="minor"/>
      </rPr>
      <t>60 meses</t>
    </r>
  </si>
  <si>
    <t>CGU</t>
  </si>
  <si>
    <t>008/2023</t>
  </si>
  <si>
    <t>Decision</t>
  </si>
  <si>
    <t>Storage All Flash com capacidade líquida de armazenamento de no mínimo 510TB, suporte técnico e garantia de no mínimo 60 meses.</t>
  </si>
  <si>
    <r>
      <t xml:space="preserve">DELL EMC POWERSTORE 5200, </t>
    </r>
    <r>
      <rPr>
        <b/>
        <sz val="11"/>
        <color theme="1"/>
        <rFont val="Calibri"/>
        <family val="2"/>
        <scheme val="minor"/>
      </rPr>
      <t>Suporte de 60 meses</t>
    </r>
  </si>
  <si>
    <t>Storage All Flash incluindo instalação e suporte técnico, com 700TiB de capacidade utilizável.</t>
  </si>
  <si>
    <t>TCERJ</t>
  </si>
  <si>
    <t>Arvvo</t>
  </si>
  <si>
    <r>
      <t xml:space="preserve">Storage All Flash incluindo instalação e suporte técnico, com </t>
    </r>
    <r>
      <rPr>
        <b/>
        <sz val="11"/>
        <color theme="1"/>
        <rFont val="Calibri"/>
        <family val="2"/>
        <scheme val="minor"/>
      </rPr>
      <t>700TiB</t>
    </r>
    <r>
      <rPr>
        <sz val="11"/>
        <color theme="1"/>
        <rFont val="Calibri"/>
        <family val="2"/>
        <scheme val="minor"/>
      </rPr>
      <t xml:space="preserve"> de capacidade utilizável. Marca/Fabricante: Pure Storage Modelo/Versão: Modelo C70 - Versão 6.4.7 -  </t>
    </r>
    <r>
      <rPr>
        <b/>
        <sz val="11"/>
        <color theme="1"/>
        <rFont val="Calibri"/>
        <family val="2"/>
        <scheme val="minor"/>
      </rPr>
      <t>período de 60 (sessenta) meses</t>
    </r>
  </si>
  <si>
    <r>
      <t xml:space="preserve">HUAWEI. </t>
    </r>
    <r>
      <rPr>
        <b/>
        <sz val="11"/>
        <color theme="1"/>
        <rFont val="Calibri"/>
        <family val="2"/>
        <scheme val="minor"/>
      </rPr>
      <t>Suporte 60 meses.</t>
    </r>
  </si>
  <si>
    <t>Valor Previsto 02 Equipamentos</t>
  </si>
  <si>
    <t>Média</t>
  </si>
  <si>
    <t>100/2023</t>
  </si>
  <si>
    <t>TST</t>
  </si>
  <si>
    <t>PetaCorp</t>
  </si>
  <si>
    <t>Storage all flash full nvme com 60 meses de garantia - Tipo 3</t>
  </si>
  <si>
    <t>PureStorage FlashArray C70R4 - 156 TB - 60 meses</t>
  </si>
  <si>
    <t>Quantidade</t>
  </si>
  <si>
    <t>Marca/Modelo</t>
  </si>
  <si>
    <t>Preço Unitário</t>
  </si>
  <si>
    <t>Preço Total</t>
  </si>
  <si>
    <t>Solução de armazenamento em disco com suporte e garantia por 60 meses - Solução All_x0002_Flash com no mínimo 416 TB</t>
  </si>
  <si>
    <t>Hitachi Vantara
VSP One Block 26</t>
  </si>
  <si>
    <t>Wise Tecnologia</t>
  </si>
  <si>
    <t>BlueTrust</t>
  </si>
  <si>
    <t>Solução de armazenamento em disco All-Flash com suporte e garantia por 60 meses com no mínimo 416 TB</t>
  </si>
  <si>
    <t>IBM FS 7300</t>
  </si>
  <si>
    <t>Repasse de Conhecimento</t>
  </si>
  <si>
    <t>Treinamento Lote 01</t>
  </si>
  <si>
    <t>Treinamento Lote 02</t>
  </si>
  <si>
    <t>MPPA</t>
  </si>
  <si>
    <t>Treinamento oficial do fabricante para 6 (seis) servidores</t>
  </si>
  <si>
    <t>Treinamento Oficial do fabricante para 6 alunos</t>
  </si>
  <si>
    <t>Serviço de treinamento para storage tipo 1</t>
  </si>
  <si>
    <t>LTA-RH</t>
  </si>
  <si>
    <t>Storage Dell PowerStore 1200T</t>
  </si>
  <si>
    <t>Dell PowerStore 1200T</t>
  </si>
  <si>
    <t>Compwire</t>
  </si>
  <si>
    <t>STORAGE HUAWEI OCEANSTOR DORADO 5000 V6 COM 416 TB</t>
  </si>
  <si>
    <t>Pregão/Órgão</t>
  </si>
  <si>
    <t>Data</t>
  </si>
  <si>
    <t>Métrica</t>
  </si>
  <si>
    <t>Necessidade ANAC</t>
  </si>
  <si>
    <t xml:space="preserve">Observação. </t>
  </si>
  <si>
    <t>Compatível?</t>
  </si>
  <si>
    <t>INPI - 90013/2024</t>
  </si>
  <si>
    <t>Quant.</t>
  </si>
  <si>
    <r>
      <t xml:space="preserve">Deve oferecer pelo menos </t>
    </r>
    <r>
      <rPr>
        <b/>
        <sz val="11"/>
        <color theme="1"/>
        <rFont val="Calibri"/>
        <family val="2"/>
        <scheme val="minor"/>
      </rPr>
      <t>750TB</t>
    </r>
    <r>
      <rPr>
        <sz val="11"/>
        <color theme="1"/>
        <rFont val="Calibri"/>
        <family val="2"/>
        <scheme val="minor"/>
      </rPr>
      <t xml:space="preserve"> (setecentos e cinquenta terabytes) de capacidade líquida para o armazenamento de dados;</t>
    </r>
  </si>
  <si>
    <t>Valor Unitário por TB</t>
  </si>
  <si>
    <t>Tamanho em TB</t>
  </si>
  <si>
    <t>Valor Previsto ANAC</t>
  </si>
  <si>
    <t>O2 Soluções</t>
  </si>
  <si>
    <t>60 meses. 90.000 IOPS</t>
  </si>
  <si>
    <t>MCOM - ATA Nº 05/2024</t>
  </si>
  <si>
    <r>
      <t xml:space="preserve">Solução de Armazenamento de Dados Unificado - </t>
    </r>
    <r>
      <rPr>
        <b/>
        <sz val="11"/>
        <color theme="1"/>
        <rFont val="Calibri"/>
        <family val="2"/>
        <scheme val="minor"/>
      </rPr>
      <t>116 TiB</t>
    </r>
    <r>
      <rPr>
        <sz val="11"/>
        <color theme="1"/>
        <rFont val="Calibri"/>
        <family val="2"/>
        <scheme val="minor"/>
      </rPr>
      <t xml:space="preserve"> (cento e dezesseis tebibytes) líquidos de armazenamento</t>
    </r>
  </si>
  <si>
    <t>Northware</t>
  </si>
  <si>
    <t>Subsistema de Discos Midrange All-NVMe – 1200 TB com garantia técnica de 60 meses</t>
  </si>
  <si>
    <t>Fabricante: Huawei - Modelo: OceanStor Dorado High-end 6000 V6 - Part Number / SKU: 02355THQ.</t>
  </si>
  <si>
    <t>Lenovo ThinkSystem DG7000</t>
  </si>
  <si>
    <r>
      <t xml:space="preserve">60 meses. O equipamento atual do MCOM que deverá ter interoperabilidade com a solução ofertada é Marca/Modelo: NetApp FAS 2720. NAS. S3. </t>
    </r>
    <r>
      <rPr>
        <b/>
        <sz val="11"/>
        <color theme="1"/>
        <rFont val="Calibri"/>
        <family val="2"/>
        <scheme val="minor"/>
      </rPr>
      <t>DRAM DDR5</t>
    </r>
    <r>
      <rPr>
        <sz val="11"/>
        <color theme="1"/>
        <rFont val="Calibri"/>
        <family val="2"/>
        <scheme val="minor"/>
      </rPr>
      <t>, ou superior. 200.000 IOPS</t>
    </r>
  </si>
  <si>
    <r>
      <t xml:space="preserve"> </t>
    </r>
    <r>
      <rPr>
        <b/>
        <sz val="11"/>
        <color theme="1"/>
        <rFont val="Calibri"/>
        <family val="2"/>
        <scheme val="minor"/>
      </rPr>
      <t>60 meses.</t>
    </r>
    <r>
      <rPr>
        <sz val="11"/>
        <color theme="1"/>
        <rFont val="Calibri"/>
        <family val="2"/>
        <scheme val="minor"/>
      </rPr>
      <t xml:space="preserve"> 3 milhões (três milhões) de IOPS</t>
    </r>
  </si>
  <si>
    <t>BlueTrust (PROPOSTA)</t>
  </si>
  <si>
    <t>NetApp</t>
  </si>
  <si>
    <t>Fabricante: IBM - Modelo: FS9500 - AllFlash.</t>
  </si>
  <si>
    <t>Nothware (PROPOSTA)</t>
  </si>
  <si>
    <t xml:space="preserve">Storage Lenovo ThinkSystem DM7200F All
Flash </t>
  </si>
  <si>
    <t>STORAGE NETAPP AFF-C30</t>
  </si>
  <si>
    <t>EMGEA - DF - N° 90010/2024</t>
  </si>
  <si>
    <t>Aquisição de equipamento de armazenamento de dados (Storage), incluindo Switches SAN, cabos e prestação de serviço de suporte
técnico, com garantia do fabricante, para a disponibilização de solução atualizada de Armazenamento de Dados de alto desempenho</t>
  </si>
  <si>
    <t>92,5 TB. 60 meses. 140.000 IOPS. ativo/ativo simétrico. Incluídos Storage + Software + Instalação.</t>
  </si>
  <si>
    <t>Justificativa</t>
  </si>
  <si>
    <t>Sim</t>
  </si>
  <si>
    <t>As características técnicas são próximas as necessidades do projeto da Anac.</t>
  </si>
  <si>
    <t>Proposta comercial com base na específica técnica do projeto da Anac.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</si>
</sst>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  <font>
      <b/>
      <sz val="10"/>
      <color theme="1"/>
      <name val="Arial Nova"/>
      <family val="2"/>
    </font>
  </fonts>
  <fills count="6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6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4" fontId="0" fillId="0" borderId="0" xfId="0" applyNumberFormat="1"/>
    <xf numFmtId="4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44" fontId="0" fillId="0" borderId="1" xfId="0" applyNumberFormat="1" applyBorder="1"/>
    <xf numFmtId="0" fontId="6" fillId="0" borderId="0" xfId="2"/>
    <xf numFmtId="0" fontId="7" fillId="0" borderId="0" xfId="2" applyFont="1"/>
    <xf numFmtId="0" fontId="7" fillId="2" borderId="0" xfId="2" applyFont="1" applyFill="1"/>
    <xf numFmtId="0" fontId="0" fillId="0" borderId="1" xfId="0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2" fontId="0" fillId="0" borderId="1" xfId="0" applyNumberFormat="1" applyBorder="1"/>
    <xf numFmtId="44" fontId="0" fillId="3" borderId="1" xfId="0" applyNumberFormat="1" applyFill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44" fontId="0" fillId="0" borderId="3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4" fontId="2" fillId="0" borderId="4" xfId="0" applyNumberFormat="1" applyFont="1" applyBorder="1" applyAlignment="1">
      <alignment horizontal="center"/>
    </xf>
    <xf numFmtId="44" fontId="0" fillId="0" borderId="0" xfId="0" applyNumberFormat="1" applyAlignment="1">
      <alignment horizontal="center" vertical="center" wrapText="1"/>
    </xf>
    <xf numFmtId="44" fontId="0" fillId="0" borderId="1" xfId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8" fontId="0" fillId="0" borderId="0" xfId="0" applyNumberFormat="1"/>
    <xf numFmtId="44" fontId="0" fillId="0" borderId="0" xfId="1" applyFont="1"/>
    <xf numFmtId="44" fontId="0" fillId="0" borderId="1" xfId="1" applyFont="1" applyBorder="1" applyAlignment="1">
      <alignment horizontal="center"/>
    </xf>
    <xf numFmtId="44" fontId="0" fillId="0" borderId="1" xfId="0" applyNumberFormat="1" applyBorder="1" applyAlignment="1">
      <alignment horizontal="center"/>
    </xf>
    <xf numFmtId="44" fontId="2" fillId="0" borderId="1" xfId="0" applyNumberFormat="1" applyFont="1" applyBorder="1" applyAlignment="1">
      <alignment horizontal="center"/>
    </xf>
    <xf numFmtId="44" fontId="2" fillId="0" borderId="1" xfId="0" applyNumberFormat="1" applyFont="1" applyBorder="1"/>
    <xf numFmtId="0" fontId="8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8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4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vertical="center" wrapText="1"/>
    </xf>
    <xf numFmtId="44" fontId="0" fillId="0" borderId="0" xfId="1" applyFont="1" applyAlignment="1">
      <alignment horizontal="center" vertical="center"/>
    </xf>
    <xf numFmtId="44" fontId="0" fillId="0" borderId="0" xfId="0" applyNumberForma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3">
    <cellStyle name="Moeda" xfId="1" builtinId="4"/>
    <cellStyle name="Normal" xfId="0" builtinId="0"/>
    <cellStyle name="Normal 2" xfId="2" xr:uid="{6C0C2314-6B61-4AFA-A9CB-732B6C4DA7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24</xdr:col>
      <xdr:colOff>333375</xdr:colOff>
      <xdr:row>36</xdr:row>
      <xdr:rowOff>65175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5D3B358-383F-4EBD-B0B1-D78703481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963775" cy="692317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01EB9-AE9B-48CB-8BBB-91825EC1BA7F}">
  <dimension ref="A1:N17"/>
  <sheetViews>
    <sheetView zoomScale="90" zoomScaleNormal="90" workbookViewId="0">
      <selection activeCell="E2" sqref="E2"/>
    </sheetView>
  </sheetViews>
  <sheetFormatPr defaultRowHeight="15" x14ac:dyDescent="0.25"/>
  <cols>
    <col min="1" max="1" width="12.85546875" style="3" bestFit="1" customWidth="1"/>
    <col min="2" max="2" width="12.140625" style="3" bestFit="1" customWidth="1"/>
    <col min="3" max="3" width="22.7109375" style="3" customWidth="1"/>
    <col min="4" max="4" width="16.140625" style="3" bestFit="1" customWidth="1"/>
    <col min="5" max="5" width="59.42578125" style="3" bestFit="1" customWidth="1"/>
    <col min="6" max="6" width="12.5703125" style="3" bestFit="1" customWidth="1"/>
    <col min="7" max="7" width="18.28515625" style="3" bestFit="1" customWidth="1"/>
    <col min="8" max="8" width="17.42578125" style="3" bestFit="1" customWidth="1"/>
    <col min="9" max="9" width="39.7109375" style="3" bestFit="1" customWidth="1"/>
    <col min="10" max="10" width="16.28515625" bestFit="1" customWidth="1"/>
    <col min="11" max="11" width="17" bestFit="1" customWidth="1"/>
    <col min="12" max="12" width="18.140625" customWidth="1"/>
    <col min="13" max="13" width="18.42578125" bestFit="1" customWidth="1"/>
    <col min="14" max="14" width="16.7109375" bestFit="1" customWidth="1"/>
  </cols>
  <sheetData>
    <row r="1" spans="1:14" ht="30" x14ac:dyDescent="0.25">
      <c r="A1" s="24" t="s">
        <v>4</v>
      </c>
      <c r="B1" s="24" t="s">
        <v>11</v>
      </c>
      <c r="C1" s="24" t="s">
        <v>24</v>
      </c>
      <c r="D1" s="24" t="s">
        <v>0</v>
      </c>
      <c r="E1" s="24" t="s">
        <v>1</v>
      </c>
      <c r="F1" s="24" t="s">
        <v>16</v>
      </c>
      <c r="G1" s="24" t="s">
        <v>14</v>
      </c>
      <c r="H1" s="24" t="s">
        <v>15</v>
      </c>
      <c r="I1" s="24" t="s">
        <v>10</v>
      </c>
      <c r="J1" s="24" t="s">
        <v>55</v>
      </c>
      <c r="K1" s="24" t="s">
        <v>144</v>
      </c>
      <c r="L1" s="25" t="s">
        <v>143</v>
      </c>
      <c r="M1" s="24" t="s">
        <v>168</v>
      </c>
      <c r="N1" s="27"/>
    </row>
    <row r="2" spans="1:14" ht="60" x14ac:dyDescent="0.25">
      <c r="A2" s="2" t="s">
        <v>9</v>
      </c>
      <c r="B2" s="2" t="s">
        <v>32</v>
      </c>
      <c r="C2" s="2" t="s">
        <v>33</v>
      </c>
      <c r="D2" s="2" t="s">
        <v>12</v>
      </c>
      <c r="E2" s="2" t="s">
        <v>13</v>
      </c>
      <c r="F2" s="2">
        <v>1</v>
      </c>
      <c r="G2" s="4">
        <v>2987190</v>
      </c>
      <c r="H2" s="4">
        <v>2987190</v>
      </c>
      <c r="I2" s="2" t="s">
        <v>155</v>
      </c>
      <c r="J2" s="4">
        <f>G2/600</f>
        <v>4978.6499999999996</v>
      </c>
      <c r="K2" s="15">
        <v>416</v>
      </c>
      <c r="L2" s="26">
        <f t="shared" ref="L2:L11" si="0">K2*J2</f>
        <v>2071118.4</v>
      </c>
      <c r="M2" s="16">
        <f t="shared" ref="M2:M11" si="1">L2*2</f>
        <v>4142236.8</v>
      </c>
      <c r="N2" s="28"/>
    </row>
    <row r="3" spans="1:14" ht="60" x14ac:dyDescent="0.25">
      <c r="A3" s="2" t="s">
        <v>9</v>
      </c>
      <c r="B3" s="2" t="s">
        <v>49</v>
      </c>
      <c r="C3" s="2" t="s">
        <v>50</v>
      </c>
      <c r="D3" s="2" t="s">
        <v>12</v>
      </c>
      <c r="E3" s="2" t="s">
        <v>51</v>
      </c>
      <c r="F3" s="2">
        <v>1</v>
      </c>
      <c r="G3" s="4">
        <v>1019433.04</v>
      </c>
      <c r="H3" s="4">
        <v>1019433.04</v>
      </c>
      <c r="I3" s="2" t="s">
        <v>154</v>
      </c>
      <c r="J3" s="4">
        <f>G3/342</f>
        <v>2980.7983625730994</v>
      </c>
      <c r="K3" s="15">
        <v>416</v>
      </c>
      <c r="L3" s="26">
        <f t="shared" si="0"/>
        <v>1240012.1188304094</v>
      </c>
      <c r="M3" s="16">
        <f t="shared" si="1"/>
        <v>2480024.2376608187</v>
      </c>
    </row>
    <row r="4" spans="1:14" ht="150" x14ac:dyDescent="0.25">
      <c r="A4" s="2" t="s">
        <v>9</v>
      </c>
      <c r="B4" s="9" t="s">
        <v>57</v>
      </c>
      <c r="C4" s="2" t="s">
        <v>56</v>
      </c>
      <c r="D4" s="2" t="s">
        <v>58</v>
      </c>
      <c r="E4" s="2" t="s">
        <v>59</v>
      </c>
      <c r="F4" s="2">
        <v>1</v>
      </c>
      <c r="G4" s="4">
        <v>3200000</v>
      </c>
      <c r="H4" s="4">
        <v>3200000</v>
      </c>
      <c r="I4" s="2" t="s">
        <v>156</v>
      </c>
      <c r="J4" s="4">
        <f>G4/240</f>
        <v>13333.333333333334</v>
      </c>
      <c r="K4" s="15">
        <v>416</v>
      </c>
      <c r="L4" s="16">
        <f t="shared" si="0"/>
        <v>5546666.666666667</v>
      </c>
      <c r="M4" s="29">
        <f t="shared" si="1"/>
        <v>11093333.333333334</v>
      </c>
    </row>
    <row r="5" spans="1:14" ht="45" x14ac:dyDescent="0.25">
      <c r="A5" s="2" t="s">
        <v>9</v>
      </c>
      <c r="B5" s="2" t="s">
        <v>88</v>
      </c>
      <c r="C5" s="2" t="s">
        <v>134</v>
      </c>
      <c r="D5" s="2" t="s">
        <v>91</v>
      </c>
      <c r="E5" s="2" t="s">
        <v>146</v>
      </c>
      <c r="F5" s="2">
        <v>1</v>
      </c>
      <c r="G5" s="4">
        <v>685000</v>
      </c>
      <c r="H5" s="4">
        <v>685000</v>
      </c>
      <c r="I5" s="2" t="s">
        <v>167</v>
      </c>
      <c r="J5" s="4">
        <f>H5/100</f>
        <v>6850</v>
      </c>
      <c r="K5" s="15">
        <v>416</v>
      </c>
      <c r="L5" s="16">
        <f t="shared" si="0"/>
        <v>2849600</v>
      </c>
      <c r="M5" s="16">
        <f t="shared" si="1"/>
        <v>5699200</v>
      </c>
    </row>
    <row r="6" spans="1:14" ht="45" x14ac:dyDescent="0.25">
      <c r="A6" s="2" t="s">
        <v>9</v>
      </c>
      <c r="B6" s="2" t="s">
        <v>94</v>
      </c>
      <c r="C6" s="2" t="s">
        <v>139</v>
      </c>
      <c r="D6" s="2" t="s">
        <v>97</v>
      </c>
      <c r="E6" s="2" t="s">
        <v>140</v>
      </c>
      <c r="F6" s="2">
        <v>1</v>
      </c>
      <c r="G6" s="4">
        <v>929624.14</v>
      </c>
      <c r="H6" s="4">
        <v>929624.14</v>
      </c>
      <c r="I6" s="2" t="s">
        <v>157</v>
      </c>
      <c r="J6" s="4">
        <f>G6/150</f>
        <v>6197.4942666666666</v>
      </c>
      <c r="K6" s="15">
        <v>416</v>
      </c>
      <c r="L6" s="16">
        <f t="shared" si="0"/>
        <v>2578157.6149333334</v>
      </c>
      <c r="M6" s="16">
        <f t="shared" si="1"/>
        <v>5156315.2298666667</v>
      </c>
    </row>
    <row r="7" spans="1:14" ht="45" x14ac:dyDescent="0.25">
      <c r="A7" s="2" t="s">
        <v>9</v>
      </c>
      <c r="B7" s="2" t="s">
        <v>94</v>
      </c>
      <c r="C7" s="2" t="s">
        <v>139</v>
      </c>
      <c r="D7" s="2" t="s">
        <v>97</v>
      </c>
      <c r="E7" s="2" t="s">
        <v>141</v>
      </c>
      <c r="F7" s="2">
        <v>1</v>
      </c>
      <c r="G7" s="4">
        <v>5119452.7699999996</v>
      </c>
      <c r="H7" s="4">
        <v>5119452.7699999996</v>
      </c>
      <c r="I7" s="2" t="s">
        <v>157</v>
      </c>
      <c r="J7" s="4">
        <f>G7/1000</f>
        <v>5119.4527699999999</v>
      </c>
      <c r="K7" s="15">
        <v>416</v>
      </c>
      <c r="L7" s="16">
        <f t="shared" si="0"/>
        <v>2129692.3523200001</v>
      </c>
      <c r="M7" s="16">
        <f t="shared" si="1"/>
        <v>4259384.7046400001</v>
      </c>
    </row>
    <row r="8" spans="1:14" ht="45" x14ac:dyDescent="0.25">
      <c r="A8" s="2" t="s">
        <v>9</v>
      </c>
      <c r="B8" s="2" t="s">
        <v>94</v>
      </c>
      <c r="C8" s="2" t="s">
        <v>139</v>
      </c>
      <c r="D8" s="2" t="s">
        <v>97</v>
      </c>
      <c r="E8" s="2" t="s">
        <v>142</v>
      </c>
      <c r="F8" s="2">
        <v>1</v>
      </c>
      <c r="G8" s="4">
        <v>1855290.44</v>
      </c>
      <c r="H8" s="4">
        <v>1855290.44</v>
      </c>
      <c r="I8" s="2" t="s">
        <v>157</v>
      </c>
      <c r="J8" s="4">
        <f>G8/300</f>
        <v>6184.3014666666668</v>
      </c>
      <c r="K8" s="15">
        <v>416</v>
      </c>
      <c r="L8" s="16">
        <f t="shared" si="0"/>
        <v>2572669.4101333334</v>
      </c>
      <c r="M8" s="16">
        <f t="shared" si="1"/>
        <v>5145338.8202666668</v>
      </c>
    </row>
    <row r="9" spans="1:14" ht="30" x14ac:dyDescent="0.25">
      <c r="A9" s="2" t="s">
        <v>9</v>
      </c>
      <c r="B9" s="2" t="s">
        <v>149</v>
      </c>
      <c r="C9" s="2" t="s">
        <v>150</v>
      </c>
      <c r="D9" s="2" t="s">
        <v>151</v>
      </c>
      <c r="E9" s="2" t="s">
        <v>152</v>
      </c>
      <c r="F9" s="2">
        <v>1</v>
      </c>
      <c r="G9" s="4">
        <v>1069362</v>
      </c>
      <c r="H9" s="7">
        <f>G9</f>
        <v>1069362</v>
      </c>
      <c r="I9" s="2" t="s">
        <v>153</v>
      </c>
      <c r="J9" s="11">
        <f>H9/255</f>
        <v>4193.5764705882357</v>
      </c>
      <c r="K9" s="15">
        <v>416</v>
      </c>
      <c r="L9" s="16">
        <f t="shared" si="0"/>
        <v>1744527.8117647059</v>
      </c>
      <c r="M9" s="16">
        <f t="shared" si="1"/>
        <v>3489055.6235294119</v>
      </c>
    </row>
    <row r="10" spans="1:14" ht="45" x14ac:dyDescent="0.25">
      <c r="A10" s="2" t="s">
        <v>9</v>
      </c>
      <c r="B10" s="23" t="s">
        <v>159</v>
      </c>
      <c r="C10" s="2" t="s">
        <v>158</v>
      </c>
      <c r="D10" s="2" t="s">
        <v>160</v>
      </c>
      <c r="E10" s="2" t="s">
        <v>161</v>
      </c>
      <c r="F10" s="2">
        <v>1</v>
      </c>
      <c r="G10" s="4">
        <v>3324000</v>
      </c>
      <c r="H10" s="7">
        <f>G10</f>
        <v>3324000</v>
      </c>
      <c r="I10" s="2" t="s">
        <v>162</v>
      </c>
      <c r="J10" s="11">
        <f>H10/510</f>
        <v>6517.6470588235297</v>
      </c>
      <c r="K10" s="15">
        <v>416</v>
      </c>
      <c r="L10" s="16">
        <f t="shared" si="0"/>
        <v>2711341.1764705884</v>
      </c>
      <c r="M10" s="16">
        <f t="shared" si="1"/>
        <v>5422682.3529411769</v>
      </c>
    </row>
    <row r="11" spans="1:14" ht="75" x14ac:dyDescent="0.25">
      <c r="A11" s="2" t="s">
        <v>9</v>
      </c>
      <c r="B11" s="2">
        <v>392023</v>
      </c>
      <c r="C11" s="2" t="s">
        <v>164</v>
      </c>
      <c r="D11" s="2" t="s">
        <v>165</v>
      </c>
      <c r="E11" s="2" t="s">
        <v>163</v>
      </c>
      <c r="F11" s="2">
        <v>1</v>
      </c>
      <c r="G11" s="4">
        <v>3870000</v>
      </c>
      <c r="H11" s="7">
        <f>G11</f>
        <v>3870000</v>
      </c>
      <c r="I11" s="2" t="s">
        <v>166</v>
      </c>
      <c r="J11" s="11">
        <f>H11/700</f>
        <v>5528.5714285714284</v>
      </c>
      <c r="K11" s="15">
        <v>416</v>
      </c>
      <c r="L11" s="16">
        <f t="shared" si="0"/>
        <v>2299885.7142857141</v>
      </c>
      <c r="M11" s="16">
        <f t="shared" si="1"/>
        <v>4599771.4285714282</v>
      </c>
    </row>
    <row r="12" spans="1:14" ht="30" x14ac:dyDescent="0.25">
      <c r="A12" s="2" t="s">
        <v>9</v>
      </c>
      <c r="B12" s="2" t="s">
        <v>170</v>
      </c>
      <c r="C12" s="2" t="s">
        <v>171</v>
      </c>
      <c r="D12" s="2" t="s">
        <v>172</v>
      </c>
      <c r="E12" s="2" t="s">
        <v>173</v>
      </c>
      <c r="F12" s="2">
        <v>33</v>
      </c>
      <c r="G12" s="4">
        <v>960000</v>
      </c>
      <c r="H12" s="4">
        <v>960000</v>
      </c>
      <c r="I12" s="2" t="s">
        <v>174</v>
      </c>
      <c r="J12" s="11">
        <f>G12/156</f>
        <v>6153.8461538461543</v>
      </c>
      <c r="K12" s="15">
        <v>416</v>
      </c>
      <c r="L12" s="16">
        <f t="shared" ref="L12" si="2">K12*J12</f>
        <v>2560000</v>
      </c>
      <c r="M12" s="16">
        <f t="shared" ref="M12" si="3">L12*2</f>
        <v>5120000</v>
      </c>
    </row>
    <row r="13" spans="1:14" x14ac:dyDescent="0.25">
      <c r="K13" s="30" t="s">
        <v>169</v>
      </c>
      <c r="L13" s="31">
        <f>AVERAGE(L2:L12)</f>
        <v>2573061.0241277046</v>
      </c>
      <c r="M13" s="31">
        <f>AVERAGE(M2:M12)</f>
        <v>5146122.0482554091</v>
      </c>
    </row>
    <row r="16" spans="1:14" x14ac:dyDescent="0.25">
      <c r="L16" s="6"/>
    </row>
    <row r="17" spans="9:9" x14ac:dyDescent="0.25">
      <c r="I17" s="32"/>
    </row>
  </sheetData>
  <autoFilter ref="A1:M8" xr:uid="{4DC485D9-770F-4ABD-91E5-01B626BA94CA}"/>
  <pageMargins left="0.511811024" right="0.511811024" top="0.78740157499999996" bottom="0.78740157499999996" header="0.31496062000000002" footer="0.31496062000000002"/>
  <pageSetup paperSize="9" orientation="portrait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485D9-770F-4ABD-91E5-01B626BA94CA}">
  <dimension ref="A1:N20"/>
  <sheetViews>
    <sheetView zoomScale="90" zoomScaleNormal="90" workbookViewId="0">
      <selection activeCell="J2" sqref="J2"/>
    </sheetView>
  </sheetViews>
  <sheetFormatPr defaultRowHeight="15" x14ac:dyDescent="0.25"/>
  <cols>
    <col min="1" max="1" width="12.42578125" style="3" bestFit="1" customWidth="1"/>
    <col min="2" max="2" width="11.7109375" style="3" bestFit="1" customWidth="1"/>
    <col min="3" max="3" width="19.85546875" style="3" bestFit="1" customWidth="1"/>
    <col min="4" max="4" width="16.140625" style="3" bestFit="1" customWidth="1"/>
    <col min="5" max="5" width="60.28515625" style="3" customWidth="1"/>
    <col min="6" max="6" width="10.5703125" style="3" customWidth="1"/>
    <col min="7" max="7" width="18.140625" style="3" bestFit="1" customWidth="1"/>
    <col min="8" max="8" width="18.42578125" style="3" customWidth="1"/>
    <col min="9" max="9" width="33.140625" style="3" customWidth="1"/>
    <col min="10" max="10" width="16.28515625" bestFit="1" customWidth="1"/>
    <col min="11" max="11" width="16.85546875" bestFit="1" customWidth="1"/>
    <col min="12" max="12" width="18.140625" bestFit="1" customWidth="1"/>
    <col min="13" max="13" width="18.42578125" bestFit="1" customWidth="1"/>
    <col min="14" max="14" width="16.7109375" bestFit="1" customWidth="1"/>
  </cols>
  <sheetData>
    <row r="1" spans="1:14" ht="30" x14ac:dyDescent="0.25">
      <c r="A1" s="1" t="s">
        <v>4</v>
      </c>
      <c r="B1" s="1" t="s">
        <v>11</v>
      </c>
      <c r="C1" s="1" t="s">
        <v>24</v>
      </c>
      <c r="D1" s="1" t="s">
        <v>0</v>
      </c>
      <c r="E1" s="1" t="s">
        <v>1</v>
      </c>
      <c r="F1" s="1" t="s">
        <v>16</v>
      </c>
      <c r="G1" s="1" t="s">
        <v>14</v>
      </c>
      <c r="H1" s="1" t="s">
        <v>15</v>
      </c>
      <c r="I1" s="1" t="s">
        <v>10</v>
      </c>
      <c r="J1" s="1" t="s">
        <v>55</v>
      </c>
      <c r="K1" s="1" t="s">
        <v>144</v>
      </c>
      <c r="L1" s="1" t="s">
        <v>143</v>
      </c>
      <c r="M1" s="17" t="s">
        <v>147</v>
      </c>
      <c r="N1" s="22" t="s">
        <v>148</v>
      </c>
    </row>
    <row r="2" spans="1:14" ht="45" x14ac:dyDescent="0.25">
      <c r="A2" s="2" t="s">
        <v>5</v>
      </c>
      <c r="B2" s="1"/>
      <c r="C2" s="1"/>
      <c r="D2" s="2" t="s">
        <v>145</v>
      </c>
      <c r="E2" s="2" t="s">
        <v>3</v>
      </c>
      <c r="F2" s="2" t="s">
        <v>17</v>
      </c>
      <c r="G2" s="4">
        <v>75078.52</v>
      </c>
      <c r="H2" s="4">
        <v>900942.24</v>
      </c>
      <c r="I2" s="2" t="s">
        <v>30</v>
      </c>
      <c r="J2" s="4">
        <f>(H2/2)/212</f>
        <v>2124.8637735849056</v>
      </c>
      <c r="K2" s="1">
        <v>212</v>
      </c>
      <c r="L2" s="20">
        <f>K2*J2</f>
        <v>450471.12</v>
      </c>
      <c r="M2" s="21">
        <f>L2*5</f>
        <v>2252355.6</v>
      </c>
      <c r="N2" s="21">
        <f>AVERAGE(M2:M5)</f>
        <v>2345441.6124999998</v>
      </c>
    </row>
    <row r="3" spans="1:14" ht="45" x14ac:dyDescent="0.25">
      <c r="A3" s="2" t="s">
        <v>5</v>
      </c>
      <c r="B3" s="2" t="s">
        <v>25</v>
      </c>
      <c r="C3" s="2"/>
      <c r="D3" s="2" t="s">
        <v>2</v>
      </c>
      <c r="E3" s="2" t="s">
        <v>3</v>
      </c>
      <c r="F3" s="2" t="s">
        <v>17</v>
      </c>
      <c r="G3" s="4">
        <v>45077</v>
      </c>
      <c r="H3" s="4">
        <v>540924</v>
      </c>
      <c r="I3" s="2" t="s">
        <v>30</v>
      </c>
      <c r="J3" s="4">
        <f>(H3/2)/212</f>
        <v>1275.7641509433963</v>
      </c>
      <c r="K3" s="1">
        <v>212</v>
      </c>
      <c r="L3" s="20">
        <f t="shared" ref="L3:L6" si="0">K3*J3</f>
        <v>270462</v>
      </c>
      <c r="M3" s="21">
        <f>H3*5</f>
        <v>2704620</v>
      </c>
    </row>
    <row r="4" spans="1:14" ht="90" x14ac:dyDescent="0.25">
      <c r="A4" s="2" t="s">
        <v>5</v>
      </c>
      <c r="B4" s="2" t="s">
        <v>26</v>
      </c>
      <c r="C4" s="2" t="s">
        <v>27</v>
      </c>
      <c r="D4" s="2" t="s">
        <v>25</v>
      </c>
      <c r="E4" s="2" t="s">
        <v>53</v>
      </c>
      <c r="F4" s="2" t="s">
        <v>21</v>
      </c>
      <c r="G4" s="4">
        <v>57818.91</v>
      </c>
      <c r="H4" s="4">
        <v>1387653.84</v>
      </c>
      <c r="I4" s="2" t="s">
        <v>54</v>
      </c>
      <c r="J4" s="4">
        <f>H4/1024</f>
        <v>1355.1307031250001</v>
      </c>
      <c r="K4" s="1">
        <v>212</v>
      </c>
      <c r="L4" s="20">
        <f t="shared" si="0"/>
        <v>287287.70906250004</v>
      </c>
      <c r="M4" s="21">
        <f>H4*2.5</f>
        <v>3469134.6</v>
      </c>
    </row>
    <row r="5" spans="1:14" ht="75" x14ac:dyDescent="0.25">
      <c r="A5" s="2" t="s">
        <v>5</v>
      </c>
      <c r="B5" s="2" t="s">
        <v>28</v>
      </c>
      <c r="C5" s="2" t="s">
        <v>22</v>
      </c>
      <c r="D5" s="2" t="s">
        <v>23</v>
      </c>
      <c r="E5" s="2" t="s">
        <v>29</v>
      </c>
      <c r="F5" s="2" t="s">
        <v>17</v>
      </c>
      <c r="G5" s="4">
        <v>48083.33</v>
      </c>
      <c r="H5" s="4">
        <v>577000</v>
      </c>
      <c r="I5" s="2" t="s">
        <v>34</v>
      </c>
      <c r="J5" s="4">
        <f>H5/640</f>
        <v>901.5625</v>
      </c>
      <c r="K5" s="1">
        <v>212</v>
      </c>
      <c r="L5" s="20">
        <f t="shared" si="0"/>
        <v>191131.25</v>
      </c>
      <c r="M5" s="21">
        <f>L5*5</f>
        <v>955656.25</v>
      </c>
    </row>
    <row r="6" spans="1:14" ht="30" x14ac:dyDescent="0.25">
      <c r="A6" s="2" t="s">
        <v>5</v>
      </c>
      <c r="B6" s="2" t="s">
        <v>47</v>
      </c>
      <c r="C6" s="2" t="s">
        <v>33</v>
      </c>
      <c r="D6" s="2" t="s">
        <v>25</v>
      </c>
      <c r="E6" s="2" t="s">
        <v>48</v>
      </c>
      <c r="F6" s="2" t="s">
        <v>21</v>
      </c>
      <c r="G6" s="4">
        <v>86000</v>
      </c>
      <c r="H6" s="4">
        <v>2064000</v>
      </c>
      <c r="I6" s="8" t="s">
        <v>60</v>
      </c>
      <c r="J6" s="11">
        <f>H6/320</f>
        <v>6450</v>
      </c>
      <c r="K6" s="1">
        <v>212</v>
      </c>
      <c r="L6" s="20">
        <f t="shared" si="0"/>
        <v>1367400</v>
      </c>
      <c r="M6" s="21"/>
    </row>
    <row r="7" spans="1:14" ht="45" x14ac:dyDescent="0.25">
      <c r="A7" s="2" t="s">
        <v>6</v>
      </c>
      <c r="B7" s="2" t="s">
        <v>25</v>
      </c>
      <c r="C7" s="2"/>
      <c r="D7" s="2" t="s">
        <v>7</v>
      </c>
      <c r="E7" s="3" t="s">
        <v>8</v>
      </c>
      <c r="F7" s="2" t="s">
        <v>18</v>
      </c>
      <c r="G7" s="4">
        <v>9100</v>
      </c>
      <c r="H7" s="4">
        <v>546000</v>
      </c>
      <c r="I7" s="2" t="s">
        <v>30</v>
      </c>
      <c r="J7" s="10"/>
      <c r="K7" s="10"/>
      <c r="L7" s="10"/>
      <c r="M7" s="10"/>
    </row>
    <row r="8" spans="1:14" ht="75" x14ac:dyDescent="0.25">
      <c r="A8" s="2" t="s">
        <v>6</v>
      </c>
      <c r="B8" s="2" t="s">
        <v>31</v>
      </c>
      <c r="C8" s="2" t="s">
        <v>19</v>
      </c>
      <c r="D8" s="2" t="s">
        <v>7</v>
      </c>
      <c r="E8" s="5" t="s">
        <v>20</v>
      </c>
      <c r="F8" s="2" t="s">
        <v>17</v>
      </c>
      <c r="G8" s="4">
        <v>14400</v>
      </c>
      <c r="H8" s="4">
        <v>172800</v>
      </c>
      <c r="I8" s="2" t="s">
        <v>35</v>
      </c>
      <c r="J8" s="10"/>
      <c r="K8" s="10"/>
      <c r="L8" s="10"/>
      <c r="M8" s="18"/>
    </row>
    <row r="9" spans="1:14" ht="30" x14ac:dyDescent="0.25">
      <c r="A9" s="2" t="s">
        <v>6</v>
      </c>
      <c r="B9" s="2" t="s">
        <v>36</v>
      </c>
      <c r="C9" s="2" t="s">
        <v>37</v>
      </c>
      <c r="D9" s="2" t="s">
        <v>7</v>
      </c>
      <c r="E9" s="2" t="s">
        <v>38</v>
      </c>
      <c r="F9" s="2" t="s">
        <v>40</v>
      </c>
      <c r="G9" s="4">
        <v>5186</v>
      </c>
      <c r="H9" s="4">
        <v>155580</v>
      </c>
      <c r="I9" s="2" t="s">
        <v>43</v>
      </c>
      <c r="J9" s="10"/>
      <c r="K9" s="10"/>
      <c r="L9" s="10"/>
      <c r="M9" s="10"/>
    </row>
    <row r="10" spans="1:14" ht="45" x14ac:dyDescent="0.25">
      <c r="A10" s="2" t="s">
        <v>6</v>
      </c>
      <c r="B10" s="2" t="s">
        <v>36</v>
      </c>
      <c r="C10" s="2" t="s">
        <v>37</v>
      </c>
      <c r="D10" s="2" t="s">
        <v>7</v>
      </c>
      <c r="E10" s="2" t="s">
        <v>39</v>
      </c>
      <c r="F10" s="2" t="s">
        <v>40</v>
      </c>
      <c r="G10" s="4">
        <v>5258.6</v>
      </c>
      <c r="H10" s="7">
        <f>30*G10</f>
        <v>157758</v>
      </c>
      <c r="I10" s="2" t="s">
        <v>44</v>
      </c>
      <c r="J10" s="10"/>
      <c r="K10" s="10"/>
      <c r="L10" s="10"/>
      <c r="M10" s="10"/>
    </row>
    <row r="11" spans="1:14" ht="30" x14ac:dyDescent="0.25">
      <c r="A11" s="2" t="s">
        <v>6</v>
      </c>
      <c r="B11" s="2" t="s">
        <v>36</v>
      </c>
      <c r="C11" s="2" t="s">
        <v>37</v>
      </c>
      <c r="D11" s="2" t="s">
        <v>7</v>
      </c>
      <c r="E11" s="2" t="s">
        <v>41</v>
      </c>
      <c r="F11" s="2" t="s">
        <v>40</v>
      </c>
      <c r="G11" s="4">
        <v>2750</v>
      </c>
      <c r="H11" s="7">
        <f>30*G11</f>
        <v>82500</v>
      </c>
      <c r="I11" s="2" t="s">
        <v>45</v>
      </c>
      <c r="J11" s="10"/>
      <c r="K11" s="10"/>
      <c r="L11" s="10"/>
      <c r="M11" s="10"/>
    </row>
    <row r="12" spans="1:14" ht="30" x14ac:dyDescent="0.25">
      <c r="A12" s="2" t="s">
        <v>6</v>
      </c>
      <c r="B12" s="2" t="s">
        <v>36</v>
      </c>
      <c r="C12" s="2" t="s">
        <v>37</v>
      </c>
      <c r="D12" s="2" t="s">
        <v>7</v>
      </c>
      <c r="E12" s="2" t="s">
        <v>42</v>
      </c>
      <c r="F12" s="2" t="s">
        <v>40</v>
      </c>
      <c r="G12" s="4">
        <v>1700</v>
      </c>
      <c r="H12" s="7">
        <f>30*G12</f>
        <v>51000</v>
      </c>
      <c r="I12" s="2" t="s">
        <v>46</v>
      </c>
      <c r="J12" s="10"/>
      <c r="K12" s="10"/>
      <c r="L12" s="10"/>
      <c r="M12" s="10"/>
    </row>
    <row r="13" spans="1:14" ht="60" x14ac:dyDescent="0.25">
      <c r="A13" s="2" t="s">
        <v>9</v>
      </c>
      <c r="B13" s="2" t="s">
        <v>32</v>
      </c>
      <c r="C13" s="2" t="s">
        <v>33</v>
      </c>
      <c r="D13" s="2" t="s">
        <v>12</v>
      </c>
      <c r="E13" s="2" t="s">
        <v>13</v>
      </c>
      <c r="F13" s="2">
        <v>1</v>
      </c>
      <c r="G13" s="4">
        <v>2987190</v>
      </c>
      <c r="H13" s="4">
        <v>2987190</v>
      </c>
      <c r="I13" s="2" t="s">
        <v>52</v>
      </c>
      <c r="J13" s="4">
        <f>G13/600</f>
        <v>4978.6499999999996</v>
      </c>
      <c r="K13" s="15">
        <v>212</v>
      </c>
      <c r="L13" s="16">
        <f>K13*J13</f>
        <v>1055473.7999999998</v>
      </c>
      <c r="M13" s="16">
        <f>L13*2</f>
        <v>2110947.5999999996</v>
      </c>
      <c r="N13" s="16">
        <f>AVERAGE(M13:M19)</f>
        <v>1957105.0673063323</v>
      </c>
    </row>
    <row r="14" spans="1:14" ht="60" x14ac:dyDescent="0.25">
      <c r="A14" s="2" t="s">
        <v>9</v>
      </c>
      <c r="B14" s="2" t="s">
        <v>49</v>
      </c>
      <c r="C14" s="2" t="s">
        <v>50</v>
      </c>
      <c r="D14" s="2" t="s">
        <v>12</v>
      </c>
      <c r="E14" s="2" t="s">
        <v>51</v>
      </c>
      <c r="F14" s="2">
        <v>1</v>
      </c>
      <c r="G14" s="4">
        <v>1019433.04</v>
      </c>
      <c r="H14" s="4">
        <v>1019433.04</v>
      </c>
      <c r="I14" s="2" t="s">
        <v>136</v>
      </c>
      <c r="J14" s="4">
        <f>G14/342</f>
        <v>2980.7983625730994</v>
      </c>
      <c r="K14" s="15">
        <v>212</v>
      </c>
      <c r="L14" s="16">
        <f t="shared" ref="L14:L19" si="1">K14*J14</f>
        <v>631929.25286549702</v>
      </c>
      <c r="M14" s="19">
        <f>L14*2</f>
        <v>1263858.505730994</v>
      </c>
    </row>
    <row r="15" spans="1:14" ht="150" x14ac:dyDescent="0.25">
      <c r="A15" s="2" t="s">
        <v>9</v>
      </c>
      <c r="B15" s="9" t="s">
        <v>57</v>
      </c>
      <c r="C15" s="2" t="s">
        <v>56</v>
      </c>
      <c r="D15" s="2" t="s">
        <v>58</v>
      </c>
      <c r="E15" s="2" t="s">
        <v>59</v>
      </c>
      <c r="F15" s="2">
        <v>1</v>
      </c>
      <c r="G15" s="4">
        <v>3200000</v>
      </c>
      <c r="H15" s="4">
        <v>3200000</v>
      </c>
      <c r="I15" s="2" t="s">
        <v>135</v>
      </c>
      <c r="J15" s="4">
        <f>G15/240</f>
        <v>13333.333333333334</v>
      </c>
      <c r="K15" s="15">
        <v>212</v>
      </c>
      <c r="L15" s="16">
        <f t="shared" si="1"/>
        <v>2826666.666666667</v>
      </c>
      <c r="M15" s="16">
        <v>0</v>
      </c>
    </row>
    <row r="16" spans="1:14" ht="45" x14ac:dyDescent="0.25">
      <c r="A16" s="2" t="s">
        <v>9</v>
      </c>
      <c r="B16" s="2" t="s">
        <v>88</v>
      </c>
      <c r="C16" s="2" t="s">
        <v>134</v>
      </c>
      <c r="D16" s="2" t="s">
        <v>91</v>
      </c>
      <c r="E16" s="2" t="s">
        <v>146</v>
      </c>
      <c r="F16" s="2">
        <v>1</v>
      </c>
      <c r="G16" s="4">
        <v>685000</v>
      </c>
      <c r="H16" s="4">
        <v>685000</v>
      </c>
      <c r="I16" s="2" t="s">
        <v>137</v>
      </c>
      <c r="J16" s="4">
        <f>H16/100</f>
        <v>6850</v>
      </c>
      <c r="K16" s="15">
        <v>212</v>
      </c>
      <c r="L16" s="16">
        <f t="shared" si="1"/>
        <v>1452200</v>
      </c>
      <c r="M16" s="16">
        <f>L16*2</f>
        <v>2904400</v>
      </c>
    </row>
    <row r="17" spans="1:13" ht="60" x14ac:dyDescent="0.25">
      <c r="A17" s="2" t="s">
        <v>9</v>
      </c>
      <c r="B17" s="2" t="s">
        <v>94</v>
      </c>
      <c r="C17" s="2" t="s">
        <v>139</v>
      </c>
      <c r="D17" s="2" t="s">
        <v>97</v>
      </c>
      <c r="E17" s="2" t="s">
        <v>140</v>
      </c>
      <c r="F17" s="2">
        <v>1</v>
      </c>
      <c r="G17" s="4">
        <v>929624.14</v>
      </c>
      <c r="H17" s="4">
        <v>929624.14</v>
      </c>
      <c r="I17" s="2" t="s">
        <v>138</v>
      </c>
      <c r="J17" s="4">
        <f>G17/150</f>
        <v>6197.4942666666666</v>
      </c>
      <c r="K17" s="15">
        <v>212</v>
      </c>
      <c r="L17" s="16">
        <f t="shared" si="1"/>
        <v>1313868.7845333333</v>
      </c>
      <c r="M17" s="16">
        <f>L17*2</f>
        <v>2627737.5690666665</v>
      </c>
    </row>
    <row r="18" spans="1:13" ht="60" x14ac:dyDescent="0.25">
      <c r="A18" s="2" t="s">
        <v>9</v>
      </c>
      <c r="B18" s="2" t="s">
        <v>94</v>
      </c>
      <c r="C18" s="2" t="s">
        <v>139</v>
      </c>
      <c r="D18" s="2" t="s">
        <v>97</v>
      </c>
      <c r="E18" s="2" t="s">
        <v>141</v>
      </c>
      <c r="F18" s="2">
        <v>1</v>
      </c>
      <c r="G18" s="4">
        <v>5119452.7699999996</v>
      </c>
      <c r="H18" s="4">
        <v>5119452.7699999996</v>
      </c>
      <c r="I18" s="2" t="s">
        <v>138</v>
      </c>
      <c r="J18" s="4">
        <f>G18/1000</f>
        <v>5119.4527699999999</v>
      </c>
      <c r="K18" s="15">
        <v>212</v>
      </c>
      <c r="L18" s="16">
        <f t="shared" si="1"/>
        <v>1085323.9872399999</v>
      </c>
      <c r="M18" s="16">
        <f t="shared" ref="M18:M19" si="2">L18*2</f>
        <v>2170647.9744799999</v>
      </c>
    </row>
    <row r="19" spans="1:13" ht="60" x14ac:dyDescent="0.25">
      <c r="A19" s="2" t="s">
        <v>9</v>
      </c>
      <c r="B19" s="2" t="s">
        <v>94</v>
      </c>
      <c r="C19" s="2" t="s">
        <v>139</v>
      </c>
      <c r="D19" s="2" t="s">
        <v>97</v>
      </c>
      <c r="E19" s="2" t="s">
        <v>142</v>
      </c>
      <c r="F19" s="2">
        <v>1</v>
      </c>
      <c r="G19" s="4">
        <v>1855290.44</v>
      </c>
      <c r="H19" s="4">
        <v>1855290.44</v>
      </c>
      <c r="I19" s="2" t="s">
        <v>138</v>
      </c>
      <c r="J19" s="4">
        <f>G19/300</f>
        <v>6184.3014666666668</v>
      </c>
      <c r="K19" s="15">
        <v>212</v>
      </c>
      <c r="L19" s="16">
        <f t="shared" si="1"/>
        <v>1311071.9109333334</v>
      </c>
      <c r="M19" s="16">
        <f t="shared" si="2"/>
        <v>2622143.8218666669</v>
      </c>
    </row>
    <row r="20" spans="1:13" x14ac:dyDescent="0.25">
      <c r="L20" s="6"/>
    </row>
  </sheetData>
  <autoFilter ref="A1:M19" xr:uid="{4DC485D9-770F-4ABD-91E5-01B626BA94CA}"/>
  <phoneticPr fontId="3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BB404-C02F-4A48-94D0-D8D65827EE8B}">
  <dimension ref="A1:L16"/>
  <sheetViews>
    <sheetView workbookViewId="0">
      <selection activeCell="C4" sqref="C4"/>
    </sheetView>
  </sheetViews>
  <sheetFormatPr defaultRowHeight="15" x14ac:dyDescent="0.25"/>
  <cols>
    <col min="1" max="1" width="28" bestFit="1" customWidth="1"/>
    <col min="2" max="2" width="31.28515625" bestFit="1" customWidth="1"/>
    <col min="3" max="3" width="26.7109375" bestFit="1" customWidth="1"/>
    <col min="4" max="4" width="18.140625" bestFit="1" customWidth="1"/>
    <col min="5" max="5" width="201.7109375" hidden="1" customWidth="1"/>
    <col min="6" max="6" width="24.5703125" bestFit="1" customWidth="1"/>
    <col min="7" max="7" width="20" bestFit="1" customWidth="1"/>
    <col min="8" max="8" width="13.5703125" bestFit="1" customWidth="1"/>
    <col min="9" max="9" width="56.140625" bestFit="1" customWidth="1"/>
    <col min="10" max="10" width="51.28515625" bestFit="1" customWidth="1"/>
    <col min="11" max="11" width="57.85546875" bestFit="1" customWidth="1"/>
    <col min="12" max="12" width="15" bestFit="1" customWidth="1"/>
  </cols>
  <sheetData>
    <row r="1" spans="1:12" x14ac:dyDescent="0.25">
      <c r="A1" s="13" t="s">
        <v>61</v>
      </c>
      <c r="B1" s="12" t="s">
        <v>62</v>
      </c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x14ac:dyDescent="0.25">
      <c r="A2" s="13" t="s">
        <v>63</v>
      </c>
      <c r="B2" s="12">
        <v>11</v>
      </c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x14ac:dyDescent="0.25">
      <c r="A3" s="13" t="s">
        <v>64</v>
      </c>
      <c r="B3" s="12" t="s">
        <v>65</v>
      </c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x14ac:dyDescent="0.25">
      <c r="A4" s="13" t="s">
        <v>66</v>
      </c>
      <c r="B4" s="12" t="s">
        <v>67</v>
      </c>
      <c r="C4" s="12" t="s">
        <v>68</v>
      </c>
      <c r="D4" s="12"/>
      <c r="E4" s="12"/>
      <c r="F4" s="12"/>
      <c r="G4" s="12"/>
      <c r="H4" s="12"/>
      <c r="I4" s="12"/>
      <c r="J4" s="12"/>
      <c r="K4" s="12"/>
      <c r="L4" s="12"/>
    </row>
    <row r="5" spans="1:12" x14ac:dyDescent="0.25">
      <c r="A5" s="14" t="s">
        <v>69</v>
      </c>
      <c r="B5" s="14" t="s">
        <v>70</v>
      </c>
      <c r="C5" s="14" t="s">
        <v>71</v>
      </c>
      <c r="D5" s="14" t="s">
        <v>72</v>
      </c>
      <c r="E5" s="14" t="s">
        <v>1</v>
      </c>
      <c r="F5" s="14" t="s">
        <v>73</v>
      </c>
      <c r="G5" s="14" t="s">
        <v>74</v>
      </c>
      <c r="H5" s="14" t="s">
        <v>14</v>
      </c>
      <c r="I5" s="14" t="s">
        <v>75</v>
      </c>
      <c r="J5" s="14" t="s">
        <v>24</v>
      </c>
      <c r="K5" s="14" t="s">
        <v>76</v>
      </c>
      <c r="L5" s="14" t="s">
        <v>77</v>
      </c>
    </row>
    <row r="6" spans="1:12" x14ac:dyDescent="0.25">
      <c r="A6" s="12" t="s">
        <v>78</v>
      </c>
      <c r="B6" s="12" t="s">
        <v>79</v>
      </c>
      <c r="C6" s="12" t="s">
        <v>11</v>
      </c>
      <c r="D6" s="12">
        <v>404135</v>
      </c>
      <c r="E6" s="12" t="s">
        <v>80</v>
      </c>
      <c r="F6" s="12" t="s">
        <v>81</v>
      </c>
      <c r="G6" s="12" t="s">
        <v>82</v>
      </c>
      <c r="H6" s="12" t="s">
        <v>83</v>
      </c>
      <c r="I6" s="12" t="s">
        <v>84</v>
      </c>
      <c r="J6" s="12" t="s">
        <v>85</v>
      </c>
      <c r="K6" s="12" t="s">
        <v>86</v>
      </c>
      <c r="L6" s="12" t="s">
        <v>87</v>
      </c>
    </row>
    <row r="7" spans="1:12" x14ac:dyDescent="0.25">
      <c r="A7" s="12" t="s">
        <v>88</v>
      </c>
      <c r="B7" s="12" t="s">
        <v>89</v>
      </c>
      <c r="C7" s="12" t="s">
        <v>11</v>
      </c>
      <c r="D7" s="12">
        <v>404135</v>
      </c>
      <c r="E7" s="12" t="s">
        <v>80</v>
      </c>
      <c r="F7" s="12" t="s">
        <v>81</v>
      </c>
      <c r="G7" s="12" t="s">
        <v>82</v>
      </c>
      <c r="H7" s="12" t="s">
        <v>90</v>
      </c>
      <c r="I7" s="12" t="s">
        <v>91</v>
      </c>
      <c r="J7" s="12" t="s">
        <v>92</v>
      </c>
      <c r="K7" s="12" t="s">
        <v>93</v>
      </c>
      <c r="L7" s="12" t="s">
        <v>87</v>
      </c>
    </row>
    <row r="8" spans="1:12" x14ac:dyDescent="0.25">
      <c r="A8" s="12" t="s">
        <v>94</v>
      </c>
      <c r="B8" s="12" t="s">
        <v>95</v>
      </c>
      <c r="C8" s="12" t="s">
        <v>11</v>
      </c>
      <c r="D8" s="12">
        <v>404135</v>
      </c>
      <c r="E8" s="12" t="s">
        <v>80</v>
      </c>
      <c r="F8" s="12" t="s">
        <v>81</v>
      </c>
      <c r="G8" s="12" t="s">
        <v>82</v>
      </c>
      <c r="H8" s="12" t="s">
        <v>96</v>
      </c>
      <c r="I8" s="12" t="s">
        <v>97</v>
      </c>
      <c r="J8" s="12" t="s">
        <v>98</v>
      </c>
      <c r="K8" s="12" t="s">
        <v>99</v>
      </c>
      <c r="L8" s="12" t="s">
        <v>100</v>
      </c>
    </row>
    <row r="9" spans="1:12" x14ac:dyDescent="0.25">
      <c r="A9" s="12" t="s">
        <v>101</v>
      </c>
      <c r="B9" s="12" t="s">
        <v>102</v>
      </c>
      <c r="C9" s="12" t="s">
        <v>11</v>
      </c>
      <c r="D9" s="12">
        <v>404135</v>
      </c>
      <c r="E9" s="12" t="s">
        <v>80</v>
      </c>
      <c r="F9" s="12" t="s">
        <v>81</v>
      </c>
      <c r="G9" s="12" t="s">
        <v>103</v>
      </c>
      <c r="H9" s="12" t="s">
        <v>104</v>
      </c>
      <c r="I9" s="12" t="s">
        <v>105</v>
      </c>
      <c r="J9" s="12" t="s">
        <v>106</v>
      </c>
      <c r="K9" s="12" t="s">
        <v>107</v>
      </c>
      <c r="L9" s="12" t="s">
        <v>108</v>
      </c>
    </row>
    <row r="10" spans="1:12" x14ac:dyDescent="0.25">
      <c r="A10" s="12" t="s">
        <v>94</v>
      </c>
      <c r="B10" s="12" t="s">
        <v>79</v>
      </c>
      <c r="C10" s="12" t="s">
        <v>11</v>
      </c>
      <c r="D10" s="12">
        <v>404135</v>
      </c>
      <c r="E10" s="12" t="s">
        <v>80</v>
      </c>
      <c r="F10" s="12" t="s">
        <v>81</v>
      </c>
      <c r="G10" s="12" t="s">
        <v>82</v>
      </c>
      <c r="H10" s="12" t="s">
        <v>109</v>
      </c>
      <c r="I10" s="12" t="s">
        <v>97</v>
      </c>
      <c r="J10" s="12" t="s">
        <v>98</v>
      </c>
      <c r="K10" s="12" t="s">
        <v>99</v>
      </c>
      <c r="L10" s="12" t="s">
        <v>100</v>
      </c>
    </row>
    <row r="11" spans="1:12" x14ac:dyDescent="0.25">
      <c r="A11" s="12" t="s">
        <v>94</v>
      </c>
      <c r="B11" s="12" t="s">
        <v>89</v>
      </c>
      <c r="C11" s="12" t="s">
        <v>11</v>
      </c>
      <c r="D11" s="12">
        <v>404135</v>
      </c>
      <c r="E11" s="12" t="s">
        <v>80</v>
      </c>
      <c r="F11" s="12" t="s">
        <v>81</v>
      </c>
      <c r="G11" s="12" t="s">
        <v>82</v>
      </c>
      <c r="H11" s="12" t="s">
        <v>110</v>
      </c>
      <c r="I11" s="12" t="s">
        <v>97</v>
      </c>
      <c r="J11" s="12" t="s">
        <v>98</v>
      </c>
      <c r="K11" s="12" t="s">
        <v>99</v>
      </c>
      <c r="L11" s="12" t="s">
        <v>100</v>
      </c>
    </row>
    <row r="12" spans="1:12" x14ac:dyDescent="0.25">
      <c r="A12" s="12" t="s">
        <v>111</v>
      </c>
      <c r="B12" s="12" t="s">
        <v>95</v>
      </c>
      <c r="C12" s="12" t="s">
        <v>11</v>
      </c>
      <c r="D12" s="12">
        <v>404135</v>
      </c>
      <c r="E12" s="12" t="s">
        <v>80</v>
      </c>
      <c r="F12" s="12" t="s">
        <v>81</v>
      </c>
      <c r="G12" s="12" t="s">
        <v>82</v>
      </c>
      <c r="H12" s="12" t="s">
        <v>112</v>
      </c>
      <c r="I12" s="12" t="s">
        <v>113</v>
      </c>
      <c r="J12" s="12" t="s">
        <v>114</v>
      </c>
      <c r="K12" s="12" t="s">
        <v>115</v>
      </c>
      <c r="L12" s="12" t="s">
        <v>116</v>
      </c>
    </row>
    <row r="13" spans="1:12" x14ac:dyDescent="0.25">
      <c r="A13" s="12" t="s">
        <v>117</v>
      </c>
      <c r="B13" s="12" t="s">
        <v>89</v>
      </c>
      <c r="C13" s="12" t="s">
        <v>11</v>
      </c>
      <c r="D13" s="12">
        <v>404135</v>
      </c>
      <c r="E13" s="12" t="s">
        <v>80</v>
      </c>
      <c r="F13" s="12" t="s">
        <v>81</v>
      </c>
      <c r="G13" s="12" t="s">
        <v>82</v>
      </c>
      <c r="H13" s="12" t="s">
        <v>118</v>
      </c>
      <c r="I13" s="12" t="s">
        <v>119</v>
      </c>
      <c r="J13" s="12" t="s">
        <v>120</v>
      </c>
      <c r="K13" s="12" t="s">
        <v>121</v>
      </c>
      <c r="L13" s="12" t="s">
        <v>122</v>
      </c>
    </row>
    <row r="14" spans="1:12" x14ac:dyDescent="0.25">
      <c r="A14" s="12" t="s">
        <v>101</v>
      </c>
      <c r="B14" s="12" t="s">
        <v>89</v>
      </c>
      <c r="C14" s="12" t="s">
        <v>11</v>
      </c>
      <c r="D14" s="12">
        <v>404135</v>
      </c>
      <c r="E14" s="12" t="s">
        <v>80</v>
      </c>
      <c r="F14" s="12" t="s">
        <v>81</v>
      </c>
      <c r="G14" s="12" t="s">
        <v>82</v>
      </c>
      <c r="H14" s="12" t="s">
        <v>123</v>
      </c>
      <c r="I14" s="12" t="s">
        <v>124</v>
      </c>
      <c r="J14" s="12" t="s">
        <v>106</v>
      </c>
      <c r="K14" s="12" t="s">
        <v>107</v>
      </c>
      <c r="L14" s="12" t="s">
        <v>108</v>
      </c>
    </row>
    <row r="15" spans="1:12" x14ac:dyDescent="0.25">
      <c r="A15" s="12" t="s">
        <v>94</v>
      </c>
      <c r="B15" s="12" t="s">
        <v>125</v>
      </c>
      <c r="C15" s="12" t="s">
        <v>11</v>
      </c>
      <c r="D15" s="12">
        <v>404135</v>
      </c>
      <c r="E15" s="12" t="s">
        <v>80</v>
      </c>
      <c r="F15" s="12" t="s">
        <v>81</v>
      </c>
      <c r="G15" s="12" t="s">
        <v>82</v>
      </c>
      <c r="H15" s="12" t="s">
        <v>126</v>
      </c>
      <c r="I15" s="12" t="s">
        <v>97</v>
      </c>
      <c r="J15" s="12" t="s">
        <v>98</v>
      </c>
      <c r="K15" s="12" t="s">
        <v>99</v>
      </c>
      <c r="L15" s="12" t="s">
        <v>100</v>
      </c>
    </row>
    <row r="16" spans="1:12" x14ac:dyDescent="0.25">
      <c r="A16" s="12" t="s">
        <v>127</v>
      </c>
      <c r="B16" s="12" t="s">
        <v>89</v>
      </c>
      <c r="C16" s="12" t="s">
        <v>11</v>
      </c>
      <c r="D16" s="12">
        <v>404135</v>
      </c>
      <c r="E16" s="12" t="s">
        <v>80</v>
      </c>
      <c r="F16" s="12" t="s">
        <v>81</v>
      </c>
      <c r="G16" s="12" t="s">
        <v>128</v>
      </c>
      <c r="H16" s="12" t="s">
        <v>129</v>
      </c>
      <c r="I16" s="12" t="s">
        <v>130</v>
      </c>
      <c r="J16" s="12" t="s">
        <v>131</v>
      </c>
      <c r="K16" s="12" t="s">
        <v>132</v>
      </c>
      <c r="L16" s="12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269E7-6120-43F8-AE14-1CD8ACE30D2B}">
  <dimension ref="A1"/>
  <sheetViews>
    <sheetView workbookViewId="0">
      <selection activeCell="AA34" sqref="AA34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A9A67-3677-431D-A751-81403D61DBB5}">
  <dimension ref="A1:G11"/>
  <sheetViews>
    <sheetView workbookViewId="0">
      <selection activeCell="G14" sqref="G14"/>
    </sheetView>
  </sheetViews>
  <sheetFormatPr defaultRowHeight="15" x14ac:dyDescent="0.25"/>
  <cols>
    <col min="1" max="1" width="15.5703125" bestFit="1" customWidth="1"/>
    <col min="2" max="2" width="4.85546875" bestFit="1" customWidth="1"/>
    <col min="3" max="3" width="48.7109375" style="36" customWidth="1"/>
    <col min="4" max="4" width="10.85546875" style="37" bestFit="1" customWidth="1"/>
    <col min="5" max="5" width="27.85546875" customWidth="1"/>
    <col min="6" max="7" width="16.85546875" bestFit="1" customWidth="1"/>
    <col min="8" max="8" width="19.28515625" customWidth="1"/>
  </cols>
  <sheetData>
    <row r="1" spans="1:7" x14ac:dyDescent="0.25">
      <c r="A1" s="34" t="s">
        <v>0</v>
      </c>
      <c r="B1" s="34" t="s">
        <v>1</v>
      </c>
      <c r="C1" s="35" t="s">
        <v>10</v>
      </c>
      <c r="D1" s="34" t="s">
        <v>175</v>
      </c>
      <c r="E1" s="34" t="s">
        <v>176</v>
      </c>
      <c r="F1" s="34" t="s">
        <v>177</v>
      </c>
      <c r="G1" s="34" t="s">
        <v>178</v>
      </c>
    </row>
    <row r="2" spans="1:7" ht="45" x14ac:dyDescent="0.25">
      <c r="A2" s="15" t="s">
        <v>181</v>
      </c>
      <c r="B2" s="15">
        <v>1</v>
      </c>
      <c r="C2" s="5" t="s">
        <v>179</v>
      </c>
      <c r="D2" s="15">
        <v>2</v>
      </c>
      <c r="E2" s="2" t="s">
        <v>180</v>
      </c>
      <c r="F2" s="33">
        <v>4457729.1399999997</v>
      </c>
      <c r="G2" s="33">
        <v>8915458.2799999993</v>
      </c>
    </row>
    <row r="3" spans="1:7" ht="45" x14ac:dyDescent="0.25">
      <c r="A3" s="15" t="s">
        <v>182</v>
      </c>
      <c r="B3" s="15">
        <v>1</v>
      </c>
      <c r="C3" s="2" t="s">
        <v>183</v>
      </c>
      <c r="D3" s="15">
        <v>2</v>
      </c>
      <c r="E3" s="15" t="s">
        <v>184</v>
      </c>
      <c r="F3" s="33">
        <v>2527600</v>
      </c>
      <c r="G3" s="33">
        <v>5055200</v>
      </c>
    </row>
    <row r="4" spans="1:7" x14ac:dyDescent="0.25">
      <c r="A4" s="15" t="s">
        <v>192</v>
      </c>
      <c r="B4" s="15">
        <v>1</v>
      </c>
      <c r="C4" s="2" t="s">
        <v>193</v>
      </c>
      <c r="D4" s="15">
        <v>2</v>
      </c>
      <c r="E4" s="2" t="s">
        <v>194</v>
      </c>
      <c r="F4" s="33">
        <v>9143000</v>
      </c>
      <c r="G4" s="33">
        <v>18286000</v>
      </c>
    </row>
    <row r="5" spans="1:7" ht="30" customHeight="1" x14ac:dyDescent="0.25">
      <c r="A5" s="15" t="s">
        <v>195</v>
      </c>
      <c r="B5" s="15">
        <v>1</v>
      </c>
      <c r="C5" s="5" t="s">
        <v>183</v>
      </c>
      <c r="D5" s="38">
        <v>2</v>
      </c>
      <c r="E5" s="5" t="s">
        <v>196</v>
      </c>
      <c r="F5" s="33">
        <v>3986174.25</v>
      </c>
      <c r="G5" s="33">
        <v>7972348.5</v>
      </c>
    </row>
    <row r="6" spans="1:7" x14ac:dyDescent="0.25">
      <c r="A6" s="64" t="s">
        <v>169</v>
      </c>
      <c r="B6" s="65"/>
      <c r="C6" s="65"/>
      <c r="D6" s="65"/>
      <c r="E6" s="66"/>
      <c r="F6" s="44">
        <f>AVERAGE(F2:F5)</f>
        <v>5028625.8475000001</v>
      </c>
      <c r="G6" s="44">
        <f>AVERAGE(G2:G5)</f>
        <v>10057251.695</v>
      </c>
    </row>
    <row r="11" spans="1:7" x14ac:dyDescent="0.25">
      <c r="F11" s="6"/>
    </row>
  </sheetData>
  <mergeCells count="1">
    <mergeCell ref="A6:E6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F9953-9355-4146-8341-EA9980D0076D}">
  <dimension ref="A1:O15"/>
  <sheetViews>
    <sheetView workbookViewId="0">
      <selection activeCell="F22" sqref="F22"/>
    </sheetView>
  </sheetViews>
  <sheetFormatPr defaultRowHeight="15" x14ac:dyDescent="0.25"/>
  <cols>
    <col min="2" max="2" width="18.140625" customWidth="1"/>
    <col min="3" max="3" width="57.85546875" customWidth="1"/>
    <col min="5" max="5" width="13.5703125" bestFit="1" customWidth="1"/>
    <col min="6" max="6" width="15.28515625" bestFit="1" customWidth="1"/>
    <col min="10" max="11" width="15.85546875" bestFit="1" customWidth="1"/>
    <col min="15" max="15" width="11.7109375" bestFit="1" customWidth="1"/>
  </cols>
  <sheetData>
    <row r="1" spans="1:15" x14ac:dyDescent="0.25">
      <c r="A1" s="24" t="s">
        <v>24</v>
      </c>
      <c r="B1" s="24" t="s">
        <v>0</v>
      </c>
      <c r="C1" s="24" t="s">
        <v>1</v>
      </c>
      <c r="D1" s="24" t="s">
        <v>16</v>
      </c>
      <c r="E1" s="24" t="s">
        <v>14</v>
      </c>
      <c r="F1" s="24" t="s">
        <v>15</v>
      </c>
    </row>
    <row r="2" spans="1:15" x14ac:dyDescent="0.25">
      <c r="A2" s="2" t="s">
        <v>158</v>
      </c>
      <c r="B2" s="2" t="s">
        <v>160</v>
      </c>
      <c r="C2" s="2" t="s">
        <v>185</v>
      </c>
      <c r="D2" s="2">
        <v>1</v>
      </c>
      <c r="E2" s="4">
        <v>15000</v>
      </c>
      <c r="F2" s="4">
        <f>E2</f>
        <v>15000</v>
      </c>
      <c r="K2" s="40">
        <v>5146122.0482554091</v>
      </c>
    </row>
    <row r="3" spans="1:15" x14ac:dyDescent="0.25">
      <c r="A3" s="2" t="s">
        <v>50</v>
      </c>
      <c r="B3" s="2" t="s">
        <v>12</v>
      </c>
      <c r="C3" s="2" t="s">
        <v>186</v>
      </c>
      <c r="D3" s="38">
        <v>44</v>
      </c>
      <c r="E3" s="41">
        <v>8468.23</v>
      </c>
      <c r="F3" s="42">
        <f>D3*E3</f>
        <v>372602.12</v>
      </c>
      <c r="J3" s="40">
        <v>11433.142777777777</v>
      </c>
      <c r="K3" s="6">
        <f>J3*3</f>
        <v>34299.42833333333</v>
      </c>
    </row>
    <row r="4" spans="1:15" x14ac:dyDescent="0.25">
      <c r="A4" s="2" t="s">
        <v>50</v>
      </c>
      <c r="B4" s="2" t="s">
        <v>12</v>
      </c>
      <c r="C4" s="2" t="s">
        <v>187</v>
      </c>
      <c r="D4" s="38">
        <v>51</v>
      </c>
      <c r="E4" s="41">
        <v>9960.9599999999991</v>
      </c>
      <c r="F4" s="42">
        <f>E4*D4</f>
        <v>508008.95999999996</v>
      </c>
      <c r="K4" s="6">
        <f>SUM(K2:K3)</f>
        <v>5180421.4765887428</v>
      </c>
    </row>
    <row r="5" spans="1:15" x14ac:dyDescent="0.25">
      <c r="A5" s="38" t="s">
        <v>188</v>
      </c>
      <c r="B5" s="38" t="s">
        <v>151</v>
      </c>
      <c r="C5" s="2" t="s">
        <v>189</v>
      </c>
      <c r="D5" s="38">
        <v>6</v>
      </c>
      <c r="E5" s="41">
        <v>11253</v>
      </c>
      <c r="F5" s="42">
        <f>E5*D5</f>
        <v>67518</v>
      </c>
    </row>
    <row r="6" spans="1:15" x14ac:dyDescent="0.25">
      <c r="A6" s="38" t="s">
        <v>164</v>
      </c>
      <c r="B6" s="38" t="s">
        <v>165</v>
      </c>
      <c r="C6" s="10" t="s">
        <v>190</v>
      </c>
      <c r="D6" s="38">
        <v>6</v>
      </c>
      <c r="E6" s="42">
        <f>F6/D6</f>
        <v>6666.666666666667</v>
      </c>
      <c r="F6" s="41">
        <v>40000</v>
      </c>
    </row>
    <row r="7" spans="1:15" x14ac:dyDescent="0.25">
      <c r="A7" s="38" t="s">
        <v>171</v>
      </c>
      <c r="B7" s="38" t="s">
        <v>160</v>
      </c>
      <c r="C7" s="2" t="s">
        <v>191</v>
      </c>
      <c r="D7" s="38">
        <v>4</v>
      </c>
      <c r="E7" s="42">
        <f>F7/D7</f>
        <v>17250</v>
      </c>
      <c r="F7" s="41">
        <v>69000</v>
      </c>
      <c r="O7" s="39"/>
    </row>
    <row r="8" spans="1:15" x14ac:dyDescent="0.25">
      <c r="A8" s="67" t="s">
        <v>169</v>
      </c>
      <c r="B8" s="67"/>
      <c r="C8" s="67"/>
      <c r="D8" s="67"/>
      <c r="E8" s="43">
        <f>AVERAGE(E2:E7)</f>
        <v>11433.142777777777</v>
      </c>
      <c r="F8" s="37"/>
    </row>
    <row r="9" spans="1:15" x14ac:dyDescent="0.25">
      <c r="A9" s="37"/>
      <c r="B9" s="37"/>
      <c r="C9" s="3"/>
      <c r="D9" s="37"/>
      <c r="E9" s="37"/>
      <c r="F9" s="37"/>
    </row>
    <row r="10" spans="1:15" x14ac:dyDescent="0.25">
      <c r="C10" s="3"/>
    </row>
    <row r="11" spans="1:15" x14ac:dyDescent="0.25">
      <c r="C11" s="3"/>
    </row>
    <row r="12" spans="1:15" x14ac:dyDescent="0.25">
      <c r="C12" s="3"/>
    </row>
    <row r="13" spans="1:15" x14ac:dyDescent="0.25">
      <c r="C13" s="3"/>
    </row>
    <row r="14" spans="1:15" x14ac:dyDescent="0.25">
      <c r="C14" s="3"/>
    </row>
    <row r="15" spans="1:15" x14ac:dyDescent="0.25">
      <c r="C15" s="3"/>
    </row>
  </sheetData>
  <mergeCells count="1">
    <mergeCell ref="A8:D8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43957-FB98-41B6-B75C-342C403E39EE}">
  <dimension ref="A1:Q20"/>
  <sheetViews>
    <sheetView tabSelected="1" zoomScale="90" zoomScaleNormal="90" workbookViewId="0">
      <selection activeCell="K3" sqref="K3:K6"/>
    </sheetView>
  </sheetViews>
  <sheetFormatPr defaultColWidth="14" defaultRowHeight="15" x14ac:dyDescent="0.25"/>
  <cols>
    <col min="1" max="1" width="22.5703125" bestFit="1" customWidth="1"/>
    <col min="2" max="2" width="11.5703125" style="37" bestFit="1" customWidth="1"/>
    <col min="3" max="3" width="8.42578125" style="37" bestFit="1" customWidth="1"/>
    <col min="4" max="4" width="7" style="37" bestFit="1" customWidth="1"/>
    <col min="5" max="5" width="45.85546875" style="36" bestFit="1" customWidth="1"/>
    <col min="6" max="6" width="15.140625" style="37" bestFit="1" customWidth="1"/>
    <col min="7" max="8" width="17.7109375" style="37" bestFit="1" customWidth="1"/>
    <col min="9" max="9" width="16.28515625" style="37" customWidth="1"/>
    <col min="10" max="10" width="13" style="37" customWidth="1"/>
    <col min="11" max="11" width="16.7109375" style="37" bestFit="1" customWidth="1"/>
    <col min="12" max="12" width="37" style="50" customWidth="1"/>
    <col min="13" max="13" width="31.140625" style="60" bestFit="1" customWidth="1"/>
    <col min="14" max="14" width="14.5703125" style="37" customWidth="1"/>
    <col min="15" max="15" width="12.5703125" style="37" bestFit="1" customWidth="1"/>
    <col min="16" max="16" width="18" customWidth="1"/>
  </cols>
  <sheetData>
    <row r="1" spans="1:17" ht="25.5" x14ac:dyDescent="0.25">
      <c r="A1" s="45" t="s">
        <v>197</v>
      </c>
      <c r="B1" s="45" t="s">
        <v>198</v>
      </c>
      <c r="C1" s="45" t="s">
        <v>199</v>
      </c>
      <c r="D1" s="45" t="s">
        <v>204</v>
      </c>
      <c r="E1" s="45" t="s">
        <v>10</v>
      </c>
      <c r="F1" s="45" t="s">
        <v>207</v>
      </c>
      <c r="G1" s="45" t="s">
        <v>14</v>
      </c>
      <c r="H1" s="45" t="s">
        <v>15</v>
      </c>
      <c r="I1" s="45" t="s">
        <v>206</v>
      </c>
      <c r="J1" s="55" t="s">
        <v>200</v>
      </c>
      <c r="K1" s="55" t="s">
        <v>208</v>
      </c>
      <c r="L1" s="45" t="s">
        <v>201</v>
      </c>
      <c r="M1" s="45" t="s">
        <v>176</v>
      </c>
      <c r="N1" s="45" t="s">
        <v>0</v>
      </c>
      <c r="O1" s="45" t="s">
        <v>202</v>
      </c>
      <c r="P1" s="45" t="s">
        <v>228</v>
      </c>
    </row>
    <row r="2" spans="1:17" s="46" customFormat="1" ht="75" x14ac:dyDescent="0.25">
      <c r="A2" s="51" t="s">
        <v>203</v>
      </c>
      <c r="B2" s="52">
        <v>45608</v>
      </c>
      <c r="C2" s="15" t="s">
        <v>16</v>
      </c>
      <c r="D2" s="15">
        <v>1</v>
      </c>
      <c r="E2" s="53" t="s">
        <v>205</v>
      </c>
      <c r="F2" s="2">
        <v>750</v>
      </c>
      <c r="G2" s="33">
        <v>2196296.67</v>
      </c>
      <c r="H2" s="33">
        <v>2196296.67</v>
      </c>
      <c r="I2" s="16">
        <f>H2/F2</f>
        <v>2928.3955599999999</v>
      </c>
      <c r="J2" s="56">
        <v>416</v>
      </c>
      <c r="K2" s="57">
        <f>J2*I2</f>
        <v>1218212.55296</v>
      </c>
      <c r="L2" s="54" t="s">
        <v>210</v>
      </c>
      <c r="M2" s="58" t="s">
        <v>221</v>
      </c>
      <c r="N2" s="15" t="s">
        <v>209</v>
      </c>
      <c r="O2" s="15" t="s">
        <v>229</v>
      </c>
      <c r="P2" s="53" t="s">
        <v>230</v>
      </c>
    </row>
    <row r="3" spans="1:17" s="46" customFormat="1" ht="90" x14ac:dyDescent="0.25">
      <c r="A3" s="51" t="s">
        <v>211</v>
      </c>
      <c r="B3" s="52">
        <v>45631</v>
      </c>
      <c r="C3" s="15" t="s">
        <v>16</v>
      </c>
      <c r="D3" s="15">
        <v>1</v>
      </c>
      <c r="E3" s="53" t="s">
        <v>212</v>
      </c>
      <c r="F3" s="15">
        <v>116</v>
      </c>
      <c r="G3" s="33">
        <v>1058000</v>
      </c>
      <c r="H3" s="33">
        <v>1058000</v>
      </c>
      <c r="I3" s="16">
        <f>H3/F3</f>
        <v>9120.689655172413</v>
      </c>
      <c r="J3" s="56">
        <v>416</v>
      </c>
      <c r="K3" s="57">
        <f>J3*I3</f>
        <v>3794206.8965517236</v>
      </c>
      <c r="L3" s="53" t="s">
        <v>217</v>
      </c>
      <c r="M3" s="53" t="s">
        <v>216</v>
      </c>
      <c r="N3" s="15" t="s">
        <v>213</v>
      </c>
      <c r="O3" s="15" t="s">
        <v>229</v>
      </c>
      <c r="P3" s="53" t="s">
        <v>230</v>
      </c>
    </row>
    <row r="4" spans="1:17" s="46" customFormat="1" ht="75" x14ac:dyDescent="0.25">
      <c r="A4" s="51" t="s">
        <v>33</v>
      </c>
      <c r="B4" s="52">
        <v>45842</v>
      </c>
      <c r="C4" s="15" t="s">
        <v>16</v>
      </c>
      <c r="D4" s="15">
        <v>2</v>
      </c>
      <c r="E4" s="53" t="s">
        <v>214</v>
      </c>
      <c r="F4" s="15">
        <v>1200</v>
      </c>
      <c r="G4" s="33">
        <v>9278357</v>
      </c>
      <c r="H4" s="16">
        <f>G4*D4</f>
        <v>18556714</v>
      </c>
      <c r="I4" s="16">
        <f>G4/F4</f>
        <v>7731.9641666666666</v>
      </c>
      <c r="J4" s="56">
        <v>416</v>
      </c>
      <c r="K4" s="57">
        <f>J4*I4</f>
        <v>3216497.0933333333</v>
      </c>
      <c r="L4" s="58" t="s">
        <v>218</v>
      </c>
      <c r="M4" s="58" t="s">
        <v>215</v>
      </c>
      <c r="N4" s="15" t="s">
        <v>195</v>
      </c>
      <c r="O4" s="15" t="s">
        <v>229</v>
      </c>
      <c r="P4" s="53" t="s">
        <v>230</v>
      </c>
    </row>
    <row r="5" spans="1:17" s="46" customFormat="1" ht="90" x14ac:dyDescent="0.25">
      <c r="A5" s="53" t="s">
        <v>225</v>
      </c>
      <c r="B5" s="52">
        <v>45630</v>
      </c>
      <c r="C5" s="15" t="s">
        <v>16</v>
      </c>
      <c r="D5" s="15">
        <v>1</v>
      </c>
      <c r="E5" s="53" t="s">
        <v>226</v>
      </c>
      <c r="F5" s="15">
        <v>92.5</v>
      </c>
      <c r="G5" s="33">
        <v>859749</v>
      </c>
      <c r="H5" s="33">
        <v>859749</v>
      </c>
      <c r="I5" s="16">
        <f>G5/F5</f>
        <v>9294.5837837837844</v>
      </c>
      <c r="J5" s="56">
        <v>416</v>
      </c>
      <c r="K5" s="57">
        <f>J5*I5</f>
        <v>3866546.8540540542</v>
      </c>
      <c r="L5" s="58" t="s">
        <v>227</v>
      </c>
      <c r="M5" s="58" t="s">
        <v>224</v>
      </c>
      <c r="N5" s="15" t="s">
        <v>182</v>
      </c>
      <c r="O5" s="15" t="s">
        <v>229</v>
      </c>
      <c r="P5" s="53" t="s">
        <v>230</v>
      </c>
    </row>
    <row r="6" spans="1:17" s="46" customFormat="1" ht="75" x14ac:dyDescent="0.25">
      <c r="A6" s="51" t="s">
        <v>219</v>
      </c>
      <c r="B6" s="52">
        <v>45895</v>
      </c>
      <c r="C6" s="15" t="s">
        <v>16</v>
      </c>
      <c r="D6" s="15">
        <v>1</v>
      </c>
      <c r="E6" s="53" t="s">
        <v>183</v>
      </c>
      <c r="F6" s="15">
        <v>416</v>
      </c>
      <c r="G6" s="33">
        <v>3247500</v>
      </c>
      <c r="H6" s="33">
        <v>3247500</v>
      </c>
      <c r="I6" s="16">
        <f>H6/F6</f>
        <v>7806.4903846153848</v>
      </c>
      <c r="J6" s="56">
        <v>416</v>
      </c>
      <c r="K6" s="57">
        <v>3247500</v>
      </c>
      <c r="L6" s="54" t="s">
        <v>18</v>
      </c>
      <c r="M6" s="58" t="s">
        <v>220</v>
      </c>
      <c r="N6" s="15" t="s">
        <v>182</v>
      </c>
      <c r="O6" s="15" t="s">
        <v>229</v>
      </c>
      <c r="P6" s="53" t="s">
        <v>231</v>
      </c>
    </row>
    <row r="7" spans="1:17" s="46" customFormat="1" ht="75" x14ac:dyDescent="0.25">
      <c r="A7" s="51" t="s">
        <v>222</v>
      </c>
      <c r="B7" s="52">
        <v>45896</v>
      </c>
      <c r="C7" s="15" t="s">
        <v>16</v>
      </c>
      <c r="D7" s="15">
        <v>1</v>
      </c>
      <c r="E7" s="53" t="s">
        <v>183</v>
      </c>
      <c r="F7" s="15">
        <v>416</v>
      </c>
      <c r="G7" s="33">
        <v>7506205.8099999996</v>
      </c>
      <c r="H7" s="33">
        <v>7506205.8099999996</v>
      </c>
      <c r="I7" s="16">
        <f>G7/J7</f>
        <v>18043.763966346152</v>
      </c>
      <c r="J7" s="56">
        <v>416</v>
      </c>
      <c r="K7" s="57">
        <v>7506205.8099999996</v>
      </c>
      <c r="L7" s="54" t="s">
        <v>18</v>
      </c>
      <c r="M7" s="58" t="s">
        <v>223</v>
      </c>
      <c r="N7" s="15" t="s">
        <v>213</v>
      </c>
      <c r="O7" s="15" t="s">
        <v>229</v>
      </c>
      <c r="P7" s="53" t="s">
        <v>231</v>
      </c>
      <c r="Q7" s="48"/>
    </row>
    <row r="8" spans="1:17" s="46" customFormat="1" x14ac:dyDescent="0.25">
      <c r="A8" s="51"/>
      <c r="B8" s="15"/>
      <c r="C8" s="15"/>
      <c r="D8" s="15"/>
      <c r="E8" s="53"/>
      <c r="F8" s="15"/>
      <c r="G8" s="15"/>
      <c r="H8" s="15"/>
      <c r="I8" s="15"/>
      <c r="J8" s="56"/>
      <c r="K8" s="56"/>
      <c r="L8" s="54"/>
      <c r="M8" s="58"/>
      <c r="N8" s="15"/>
      <c r="O8" s="15"/>
      <c r="P8" s="51"/>
      <c r="Q8" s="48"/>
    </row>
    <row r="9" spans="1:17" s="46" customFormat="1" x14ac:dyDescent="0.25">
      <c r="A9" s="51"/>
      <c r="B9" s="15"/>
      <c r="C9" s="15"/>
      <c r="D9" s="15"/>
      <c r="E9" s="53"/>
      <c r="F9" s="15"/>
      <c r="G9" s="15"/>
      <c r="H9" s="15"/>
      <c r="I9" s="15"/>
      <c r="J9" s="56"/>
      <c r="K9" s="56"/>
      <c r="L9" s="54"/>
      <c r="M9" s="58"/>
      <c r="N9" s="15"/>
      <c r="O9" s="15"/>
      <c r="P9" s="51"/>
      <c r="Q9" s="48"/>
    </row>
    <row r="10" spans="1:17" s="46" customFormat="1" x14ac:dyDescent="0.25">
      <c r="A10" s="51"/>
      <c r="B10" s="15"/>
      <c r="C10" s="15"/>
      <c r="D10" s="15"/>
      <c r="E10" s="53"/>
      <c r="F10" s="15"/>
      <c r="G10" s="15"/>
      <c r="H10" s="15"/>
      <c r="I10" s="15"/>
      <c r="J10" s="56"/>
      <c r="K10" s="56"/>
      <c r="L10" s="54"/>
      <c r="M10" s="58"/>
      <c r="N10" s="15"/>
      <c r="O10" s="15"/>
      <c r="P10" s="51"/>
    </row>
    <row r="11" spans="1:17" s="46" customFormat="1" x14ac:dyDescent="0.25">
      <c r="A11" s="51"/>
      <c r="B11" s="15"/>
      <c r="C11" s="15"/>
      <c r="D11" s="15"/>
      <c r="E11" s="53"/>
      <c r="F11" s="15"/>
      <c r="G11" s="15"/>
      <c r="H11" s="15"/>
      <c r="I11" s="15"/>
      <c r="J11" s="56"/>
      <c r="K11" s="56"/>
      <c r="L11" s="54"/>
      <c r="M11" s="58"/>
      <c r="N11" s="15"/>
      <c r="O11" s="15"/>
      <c r="P11" s="51"/>
    </row>
    <row r="12" spans="1:17" s="46" customFormat="1" x14ac:dyDescent="0.25">
      <c r="A12" s="51"/>
      <c r="B12" s="15"/>
      <c r="C12" s="15"/>
      <c r="D12" s="15"/>
      <c r="E12" s="53"/>
      <c r="F12" s="15"/>
      <c r="G12" s="15"/>
      <c r="H12" s="15"/>
      <c r="I12" s="15"/>
      <c r="J12" s="56"/>
      <c r="K12" s="56"/>
      <c r="L12" s="54"/>
      <c r="M12" s="58"/>
      <c r="N12" s="15"/>
      <c r="O12" s="15"/>
      <c r="P12" s="51"/>
    </row>
    <row r="13" spans="1:17" s="46" customFormat="1" x14ac:dyDescent="0.25">
      <c r="A13" s="51"/>
      <c r="B13" s="15"/>
      <c r="C13" s="15"/>
      <c r="D13" s="15"/>
      <c r="E13" s="53"/>
      <c r="F13" s="15"/>
      <c r="G13" s="15"/>
      <c r="H13" s="15"/>
      <c r="I13" s="15"/>
      <c r="J13" s="56"/>
      <c r="K13" s="56"/>
      <c r="L13" s="54"/>
      <c r="M13" s="58"/>
      <c r="N13" s="15"/>
      <c r="O13" s="15"/>
      <c r="P13" s="51"/>
    </row>
    <row r="14" spans="1:17" s="46" customFormat="1" x14ac:dyDescent="0.25">
      <c r="A14" s="51"/>
      <c r="B14" s="15"/>
      <c r="C14" s="15"/>
      <c r="D14" s="15"/>
      <c r="E14" s="53"/>
      <c r="F14" s="15"/>
      <c r="G14" s="15"/>
      <c r="H14" s="15"/>
      <c r="I14" s="15"/>
      <c r="J14" s="56"/>
      <c r="K14" s="56"/>
      <c r="L14" s="54"/>
      <c r="M14" s="58"/>
      <c r="N14" s="15"/>
      <c r="O14" s="15"/>
      <c r="P14" s="51"/>
    </row>
    <row r="15" spans="1:17" s="46" customFormat="1" x14ac:dyDescent="0.25">
      <c r="A15" s="51"/>
      <c r="B15" s="15"/>
      <c r="C15" s="15"/>
      <c r="D15" s="15"/>
      <c r="E15" s="53"/>
      <c r="F15" s="15"/>
      <c r="G15" s="15"/>
      <c r="H15" s="15"/>
      <c r="I15" s="15"/>
      <c r="J15" s="56"/>
      <c r="K15" s="56"/>
      <c r="L15" s="54"/>
      <c r="M15" s="58"/>
      <c r="N15" s="15"/>
      <c r="O15" s="15"/>
      <c r="P15" s="51"/>
    </row>
    <row r="16" spans="1:17" s="46" customFormat="1" x14ac:dyDescent="0.25">
      <c r="B16" s="47"/>
      <c r="C16" s="47"/>
      <c r="D16" s="47"/>
      <c r="E16" s="61"/>
      <c r="F16" s="47"/>
      <c r="G16" s="47"/>
      <c r="H16" s="47"/>
      <c r="I16" s="47"/>
      <c r="J16" s="47"/>
      <c r="K16" s="47"/>
      <c r="L16" s="49"/>
      <c r="M16" s="59"/>
      <c r="N16" s="47"/>
      <c r="O16" s="47"/>
    </row>
    <row r="17" spans="2:15" s="46" customFormat="1" x14ac:dyDescent="0.25">
      <c r="B17" s="47"/>
      <c r="C17" s="47"/>
      <c r="D17" s="47"/>
      <c r="E17" s="61"/>
      <c r="F17" s="47"/>
      <c r="G17" s="40"/>
      <c r="H17" s="28"/>
      <c r="I17" s="47"/>
      <c r="J17" s="47"/>
      <c r="K17" s="47"/>
      <c r="L17" s="49"/>
      <c r="M17" s="59"/>
      <c r="N17" s="47"/>
      <c r="O17" s="47"/>
    </row>
    <row r="18" spans="2:15" s="46" customFormat="1" x14ac:dyDescent="0.25">
      <c r="B18" s="47"/>
      <c r="C18" s="47"/>
      <c r="D18" s="47"/>
      <c r="E18" s="61"/>
      <c r="F18" s="47"/>
      <c r="G18" s="40"/>
      <c r="H18" s="62"/>
      <c r="I18" s="47"/>
      <c r="J18" s="47"/>
      <c r="K18" s="47"/>
      <c r="L18" s="49"/>
      <c r="M18" s="59"/>
      <c r="N18" s="47"/>
      <c r="O18" s="47"/>
    </row>
    <row r="19" spans="2:15" s="46" customFormat="1" x14ac:dyDescent="0.25">
      <c r="B19" s="47"/>
      <c r="C19" s="47"/>
      <c r="D19" s="47"/>
      <c r="E19" s="61"/>
      <c r="F19" s="47"/>
      <c r="G19" s="40"/>
      <c r="H19" s="28"/>
      <c r="I19" s="47"/>
      <c r="J19" s="47"/>
      <c r="K19" s="47"/>
      <c r="L19" s="49"/>
      <c r="M19" s="59"/>
      <c r="N19" s="47"/>
      <c r="O19" s="47"/>
    </row>
    <row r="20" spans="2:15" s="46" customFormat="1" x14ac:dyDescent="0.25">
      <c r="B20" s="47"/>
      <c r="C20" s="47"/>
      <c r="D20" s="47"/>
      <c r="E20" s="61"/>
      <c r="F20" s="47"/>
      <c r="G20" s="40"/>
      <c r="H20" s="63"/>
      <c r="I20" s="47"/>
      <c r="J20" s="47"/>
      <c r="K20" s="47"/>
      <c r="L20" s="49"/>
      <c r="M20" s="59"/>
      <c r="N20" s="47"/>
      <c r="O20" s="47"/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024C7209A27494CAF5976B5106DCC4D" ma:contentTypeVersion="16" ma:contentTypeDescription="Crie um novo documento." ma:contentTypeScope="" ma:versionID="e18378b3daeb0e33865a83fd1b86f27f">
  <xsd:schema xmlns:xsd="http://www.w3.org/2001/XMLSchema" xmlns:xs="http://www.w3.org/2001/XMLSchema" xmlns:p="http://schemas.microsoft.com/office/2006/metadata/properties" xmlns:ns2="cf9629c8-f7d6-44fa-9207-3a2f0bff1d3e" xmlns:ns3="9a22a6ef-91ab-47d6-b74b-a186493018c0" targetNamespace="http://schemas.microsoft.com/office/2006/metadata/properties" ma:root="true" ma:fieldsID="744dc9133bea1cc07a6fcdd944db9401" ns2:_="" ns3:_="">
    <xsd:import namespace="cf9629c8-f7d6-44fa-9207-3a2f0bff1d3e"/>
    <xsd:import namespace="9a22a6ef-91ab-47d6-b74b-a186493018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9629c8-f7d6-44fa-9207-3a2f0bff1d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22a6ef-91ab-47d6-b74b-a186493018c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9ad5262-6402-4d6d-9f1b-4124730f62fb}" ma:internalName="TaxCatchAll" ma:showField="CatchAllData" ma:web="9a22a6ef-91ab-47d6-b74b-a186493018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E75E84-5F34-4189-A980-29640E45FC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BFA909-256B-4787-8262-AAE123EAE8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9629c8-f7d6-44fa-9207-3a2f0bff1d3e"/>
    <ds:schemaRef ds:uri="9a22a6ef-91ab-47d6-b74b-a186493018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Resumo com Médias</vt:lpstr>
      <vt:lpstr>Resumo</vt:lpstr>
      <vt:lpstr>Painel de Compras</vt:lpstr>
      <vt:lpstr>Painel de Compras-Filtro</vt:lpstr>
      <vt:lpstr>Propostas</vt:lpstr>
      <vt:lpstr>Treinamento</vt:lpstr>
      <vt:lpstr>Nova_Pesquisa_Agosto25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Guilherme Fernandes Menegazzo</cp:lastModifiedBy>
  <dcterms:created xsi:type="dcterms:W3CDTF">2023-08-09T19:05:46Z</dcterms:created>
  <dcterms:modified xsi:type="dcterms:W3CDTF">2025-08-29T14:48:30Z</dcterms:modified>
</cp:coreProperties>
</file>