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c-my.sharepoint.com/personal/guilherme_menegazzo_anac_gov_br/Documents/Documentos/PCTI/Novo_Storage/"/>
    </mc:Choice>
  </mc:AlternateContent>
  <xr:revisionPtr revIDLastSave="655" documentId="8_{1C58B4DC-CDF3-4A86-89BA-E118AC0EE812}" xr6:coauthVersionLast="47" xr6:coauthVersionMax="47" xr10:uidLastSave="{850FA87F-05A4-4628-8D49-08A3D8019826}"/>
  <bookViews>
    <workbookView xWindow="-120" yWindow="-120" windowWidth="29040" windowHeight="15840" activeTab="3" xr2:uid="{CE95780A-1E6F-431B-B987-F2EDAA7D57E6}"/>
  </bookViews>
  <sheets>
    <sheet name="Resumo" sheetId="1" r:id="rId1"/>
    <sheet name="Painel de Compras" sheetId="2" r:id="rId2"/>
    <sheet name="Painel de Compras-Filtro" sheetId="3" r:id="rId3"/>
    <sheet name="Resumo com Médias" sheetId="4" r:id="rId4"/>
  </sheets>
  <definedNames>
    <definedName name="_xlnm._FilterDatabase" localSheetId="0" hidden="1">Resumo!$A$1:$M$19</definedName>
    <definedName name="_xlnm._FilterDatabase" localSheetId="3" hidden="1">'Resumo com Médias'!$A$1:$M$19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4" l="1"/>
  <c r="N7" i="4"/>
  <c r="J19" i="4"/>
  <c r="L19" i="4" s="1"/>
  <c r="M19" i="4" s="1"/>
  <c r="J18" i="4"/>
  <c r="L18" i="4" s="1"/>
  <c r="M18" i="4" s="1"/>
  <c r="L17" i="4"/>
  <c r="M17" i="4" s="1"/>
  <c r="J17" i="4"/>
  <c r="J16" i="4"/>
  <c r="L16" i="4" s="1"/>
  <c r="M16" i="4" s="1"/>
  <c r="J15" i="4"/>
  <c r="L15" i="4" s="1"/>
  <c r="J14" i="4"/>
  <c r="L14" i="4" s="1"/>
  <c r="M14" i="4" s="1"/>
  <c r="J13" i="4"/>
  <c r="L13" i="4" s="1"/>
  <c r="M13" i="4" s="1"/>
  <c r="N13" i="4" s="1"/>
  <c r="H12" i="4"/>
  <c r="H11" i="4"/>
  <c r="H10" i="4"/>
  <c r="J6" i="4"/>
  <c r="L6" i="4" s="1"/>
  <c r="J5" i="4"/>
  <c r="L5" i="4" s="1"/>
  <c r="M5" i="4" s="1"/>
  <c r="M4" i="4"/>
  <c r="J4" i="4"/>
  <c r="L4" i="4" s="1"/>
  <c r="M3" i="4"/>
  <c r="J3" i="4"/>
  <c r="L3" i="4" s="1"/>
  <c r="J2" i="4"/>
  <c r="L2" i="4" s="1"/>
  <c r="M2" i="4" s="1"/>
  <c r="N2" i="4" s="1"/>
  <c r="N2" i="1"/>
  <c r="M4" i="1"/>
  <c r="M5" i="1"/>
  <c r="N13" i="1"/>
  <c r="M18" i="1"/>
  <c r="M17" i="1"/>
  <c r="M16" i="1"/>
  <c r="M14" i="1"/>
  <c r="M13" i="1"/>
  <c r="L3" i="1"/>
  <c r="L4" i="1"/>
  <c r="L5" i="1"/>
  <c r="L6" i="1"/>
  <c r="M2" i="1"/>
  <c r="L2" i="1"/>
  <c r="M3" i="1"/>
  <c r="J2" i="1"/>
  <c r="J19" i="1"/>
  <c r="L19" i="1" s="1"/>
  <c r="M19" i="1" s="1"/>
  <c r="J18" i="1"/>
  <c r="L18" i="1" s="1"/>
  <c r="J17" i="1"/>
  <c r="L17" i="1" s="1"/>
  <c r="J16" i="1"/>
  <c r="L16" i="1" s="1"/>
  <c r="J6" i="1"/>
  <c r="J5" i="1"/>
  <c r="J4" i="1"/>
  <c r="J3" i="1"/>
  <c r="J15" i="1"/>
  <c r="L15" i="1" s="1"/>
  <c r="J14" i="1"/>
  <c r="L14" i="1" s="1"/>
  <c r="J13" i="1"/>
  <c r="L13" i="1" s="1"/>
  <c r="H12" i="1" l="1"/>
  <c r="H11" i="1"/>
  <c r="H10" i="1"/>
</calcChain>
</file>

<file path=xl/sharedStrings.xml><?xml version="1.0" encoding="utf-8"?>
<sst xmlns="http://schemas.openxmlformats.org/spreadsheetml/2006/main" count="400" uniqueCount="149">
  <si>
    <t>Empresa</t>
  </si>
  <si>
    <t>Item</t>
  </si>
  <si>
    <t>IntersoftTI</t>
  </si>
  <si>
    <t>Renovação de Suporte Técnico para 02 equipamentos HUAWEI OceanStore 5000 com 212 TB de capacidade cada pelo período de 15/05/2024 até 30/06/2025</t>
  </si>
  <si>
    <t>Cenário</t>
  </si>
  <si>
    <t>Solução 01</t>
  </si>
  <si>
    <t>Solução 02</t>
  </si>
  <si>
    <t>América</t>
  </si>
  <si>
    <t>Suporte e Manutenção pelo período de 60 meses para 02 equipamentos HUAWEI OceanStore 5000 com 212 TB de capacidade cada</t>
  </si>
  <si>
    <t>Solução 03</t>
  </si>
  <si>
    <t>Descrição</t>
  </si>
  <si>
    <t>Pregão</t>
  </si>
  <si>
    <t>Zoom Tecnologia</t>
  </si>
  <si>
    <t>AQUISIÇÃO de Subsistema de Discos Midrange All Flash
NVMe – 600 TB
MARCA: Huawei
MODELO: OceanStor Dorado 5000 V6</t>
  </si>
  <si>
    <t>Valor Unitário</t>
  </si>
  <si>
    <t>Valor Total</t>
  </si>
  <si>
    <t>Unidade</t>
  </si>
  <si>
    <t>12 meses</t>
  </si>
  <si>
    <t>60 meses</t>
  </si>
  <si>
    <t>TJAC</t>
  </si>
  <si>
    <t>Serviço de manutenção preventiva e corretiva de hardware, incluindo o fornecimento de peças, componentes e acessórios de reposição para 02 (dois) equipamentos Storage Huawei V5300 V, pelo período de 12 meses.</t>
  </si>
  <si>
    <t>24 meses</t>
  </si>
  <si>
    <t>Conselho da Justiça Federal</t>
  </si>
  <si>
    <t>Servix</t>
  </si>
  <si>
    <t>Órgão</t>
  </si>
  <si>
    <t>-</t>
  </si>
  <si>
    <t>037/2023</t>
  </si>
  <si>
    <t>TJBA</t>
  </si>
  <si>
    <t>39/2021</t>
  </si>
  <si>
    <t xml:space="preserve"> Prestação serviços de manutenção corretiva e preventiva do equipamento Storage Netapp FAS-9000 como extensão da garantia, incluindo serviço de suporte técnico, atualização de firmwares, dos sistemas operacionais e de versões dos softwares de gerência.</t>
  </si>
  <si>
    <t>Proposta Comercial / 02 Equipamentos</t>
  </si>
  <si>
    <t>116/2022</t>
  </si>
  <si>
    <t>232/2023</t>
  </si>
  <si>
    <t>SERPRO</t>
  </si>
  <si>
    <t>Conselho da Justiça Federal - Pregão 39/2021. 01 equipamento com aproximadamente 640 Tb. NetApp FAS-9000</t>
  </si>
  <si>
    <t>TJAC - Licitação abandonada após adjudicação. Equipamento maior. HUAWEI. Discos SSD: 25
Discos SAS: 175
Discos NLSAS: 24</t>
  </si>
  <si>
    <t>38/2021</t>
  </si>
  <si>
    <t>TRT 18</t>
  </si>
  <si>
    <t xml:space="preserve">Serviço de garantia e suporte técnico(Broker) do Storage NetApp, modelo FAS2650 com 48 x 900 GB e 36 x 4TB </t>
  </si>
  <si>
    <t xml:space="preserve">Serviço de garantia e suporte técnico(Broker) do Storage IBM modelo Storwize V5000 com 67 x 600GB SAS, 29 x 800GB SSD e 24 x 4TB SAS </t>
  </si>
  <si>
    <t>30 meses</t>
  </si>
  <si>
    <t xml:space="preserve">Serviço de garantia e suporte técnico(Broker) do Storage IBM modelo Storwize V5000 com 24 x 600GB SAS, 24 x 4TB SAS </t>
  </si>
  <si>
    <t>Serviço de garantia e suporte técnico(Broker) do Storage IBM modelo Storwize V5000 com 24 x 600GB SAS</t>
  </si>
  <si>
    <t>NetApp 180 TB</t>
  </si>
  <si>
    <t>IBM 160 TB</t>
  </si>
  <si>
    <t>IBM 110 TB</t>
  </si>
  <si>
    <t>IBM 14 TB</t>
  </si>
  <si>
    <t>448/2023</t>
  </si>
  <si>
    <t>Serviços de Manutenção e Suporte técnico de Subsistemas de Discos All Flash 320 TB - HUAWEI OceanStor 6800F</t>
  </si>
  <si>
    <t>21/2023</t>
  </si>
  <si>
    <t>TRF4</t>
  </si>
  <si>
    <t>AQUISIÇÃO de Subsistema de Discos Midrange All Flash
NVMe – 342 TB
MARCA: Huawei
MODELO: OceanStor Dorado 5000 V6</t>
  </si>
  <si>
    <t xml:space="preserve"> Valor do Suporte não está seprado. HUAWEI MODELO: OceanStor Dorado 5000 V6. Garantia de 60 meses</t>
  </si>
  <si>
    <t>Contratação de serviço continuado de Suporte Técnico do Storage Huawei OceanStor Dorado 5000 v3, incluindo a atualização e evolução tecnológica para o servidor de armazenamento no Tribunal de Justiça do Estado da Bahia - TJBA, conforme exigências estabelecidas neste documento e seus anexos. 1 PB</t>
  </si>
  <si>
    <t>Adjudicado em 02/10/2023. 1 PB. Snap License, HyperReplication License,  UltraPath Software License, HyperMetro License(For SAN), Clone License, Basic Software License</t>
  </si>
  <si>
    <t>Valor por TB</t>
  </si>
  <si>
    <t>Ministério da Cultura</t>
  </si>
  <si>
    <t>12/2023</t>
  </si>
  <si>
    <t>WisePath</t>
  </si>
  <si>
    <r>
      <t xml:space="preserve">O equipamento VSP E 1090 possui as seguintes características: • 2 Controladoras ativo x ativo simétrico; • Configuração totalmente NVMe com </t>
    </r>
    <r>
      <rPr>
        <b/>
        <sz val="11"/>
        <color theme="1"/>
        <rFont val="Calibri"/>
        <family val="2"/>
        <scheme val="minor"/>
      </rPr>
      <t>240TiB</t>
    </r>
    <r>
      <rPr>
        <sz val="11"/>
        <color theme="1"/>
        <rFont val="Calibri"/>
        <family val="2"/>
        <scheme val="minor"/>
      </rPr>
      <t xml:space="preserve"> de capacidade em RAID 6 sem considerar ganhos de desduplicação e compressão de dados; • 32 portas de 32Gbps FC; • 1024 GB de memória cache; • Funcionalidades de: • Desduplicação e compressão; • Snapshots e clones; • Criptografia de dados • Imutabilidade de dados (proteção contra Ransomware); • Software de multipath; • Software de gerenciamento; • </t>
    </r>
    <r>
      <rPr>
        <b/>
        <sz val="11"/>
        <color theme="1"/>
        <rFont val="Calibri"/>
        <family val="2"/>
        <scheme val="minor"/>
      </rPr>
      <t>60 meses de garantia do fabricante em regime 24x7</t>
    </r>
  </si>
  <si>
    <r>
      <t xml:space="preserve">Homologado (fracassado). </t>
    </r>
    <r>
      <rPr>
        <b/>
        <sz val="11"/>
        <rFont val="Calibri"/>
        <family val="2"/>
        <scheme val="minor"/>
      </rPr>
      <t>Storage de Missão Crítica da HUAWEI.</t>
    </r>
  </si>
  <si>
    <t>Tipo painel:</t>
  </si>
  <si>
    <t>MATERIAIS</t>
  </si>
  <si>
    <t>Quantidade total de registros:</t>
  </si>
  <si>
    <t>Registros apresentados:</t>
  </si>
  <si>
    <t>1 a 11</t>
  </si>
  <si>
    <t>Filtros:</t>
  </si>
  <si>
    <t xml:space="preserve">Código Material/Serviço :  404135 </t>
  </si>
  <si>
    <t xml:space="preserve"> Ano da Compra :  2023, 2024 </t>
  </si>
  <si>
    <t>Identificação da Compra</t>
  </si>
  <si>
    <t>Número do Item</t>
  </si>
  <si>
    <t>Modalidade</t>
  </si>
  <si>
    <t>Código do CATMAT</t>
  </si>
  <si>
    <t>Unidade de Fornecimento</t>
  </si>
  <si>
    <t>Quantidade Ofertada</t>
  </si>
  <si>
    <t>Fornecedor</t>
  </si>
  <si>
    <t>UASG - Unidade Gestora</t>
  </si>
  <si>
    <t>Data da Compra</t>
  </si>
  <si>
    <t>00009/2023</t>
  </si>
  <si>
    <t>00004</t>
  </si>
  <si>
    <t>"SERVIDOR ARQUIVO", TIPO:UNIDADE STORAGE, TAXA TRANSFERÊNCIA PLACA REDE:10/100/100 MBPS, CARACTERÍSTICAS ADICIONAIS:INTERFACE SAS, SATA, RAID 0,1,2,5,10 E 50, DISCO RÍGIDO:136 DISCO EM ESCALIBILIDADE</t>
  </si>
  <si>
    <t>UNIDADE</t>
  </si>
  <si>
    <t>1</t>
  </si>
  <si>
    <t>5000,00</t>
  </si>
  <si>
    <t>ELETRA TECNOLOGIA E INFORMATICA LTDA</t>
  </si>
  <si>
    <t>CONSELHO REGIONAL DE CORRETORES DE IMOVEIS-MT</t>
  </si>
  <si>
    <t>929707 - CONSELHO REGIONAL DE CORRETORES DE IMOVEIS-MT</t>
  </si>
  <si>
    <t>09/11/2023</t>
  </si>
  <si>
    <t>00006/2023</t>
  </si>
  <si>
    <t>00001</t>
  </si>
  <si>
    <t>685000,00</t>
  </si>
  <si>
    <t>COMPWIRE INFORMATICA LTDA</t>
  </si>
  <si>
    <t>SUPERINT.NACIONAL DE PREVIDENCIA COMPLEMENTAR</t>
  </si>
  <si>
    <t>333005 - COORDENAçãO GERAL DE PATRIMONIO E LOGISTICA</t>
  </si>
  <si>
    <t>00005/2023</t>
  </si>
  <si>
    <t>00002</t>
  </si>
  <si>
    <t>929624,14</t>
  </si>
  <si>
    <t>BULL LTDA</t>
  </si>
  <si>
    <t>MIN.DA GEST.E DA INOVACAO EM SERVICOS PUBLICO</t>
  </si>
  <si>
    <t>170607 - DIRETORIA DE ADMINISTRAÇÃO E LOGÍSTICA</t>
  </si>
  <si>
    <t>30/10/2023</t>
  </si>
  <si>
    <t>00012/2023</t>
  </si>
  <si>
    <t>00005</t>
  </si>
  <si>
    <t>3</t>
  </si>
  <si>
    <t>975000,00</t>
  </si>
  <si>
    <t>JAMC CONSULTORIA E REPRESENTACAO DE SOFTWARE LTDA</t>
  </si>
  <si>
    <t>MINISTERIO DA CULTURA - MINC</t>
  </si>
  <si>
    <t>420001 - SPOA/SE/MINC</t>
  </si>
  <si>
    <t>19/12/2023</t>
  </si>
  <si>
    <t>1855290,44</t>
  </si>
  <si>
    <t>2075890,48</t>
  </si>
  <si>
    <t>00019/2023</t>
  </si>
  <si>
    <t>2500000,00</t>
  </si>
  <si>
    <t>LTA-RH INFORMATICA, COMERCIO, REPRESENTACOES LTDA</t>
  </si>
  <si>
    <t>AGENCIA NACIONAL DE SAUDE SUPLEMENTAR</t>
  </si>
  <si>
    <t>253003 - AGENCIA NACIONAL DE SAUDE SUPLEMENTAR/MS</t>
  </si>
  <si>
    <t>18/12/2023</t>
  </si>
  <si>
    <t>00027/2023</t>
  </si>
  <si>
    <t>2589869,84</t>
  </si>
  <si>
    <t>DELL COMPUTADORES DO BRASIL LTDA</t>
  </si>
  <si>
    <t>COMANDO DA MARINHA</t>
  </si>
  <si>
    <t>740014 - CENTRO LOGISTICO DO MATERIAL DA MARINHA</t>
  </si>
  <si>
    <t>08/11/2023</t>
  </si>
  <si>
    <t>3200000,00</t>
  </si>
  <si>
    <t>WISEPATH TECNOLOGIA LTDA</t>
  </si>
  <si>
    <t>00003</t>
  </si>
  <si>
    <t>5119452,77</t>
  </si>
  <si>
    <t>00093/2023</t>
  </si>
  <si>
    <t>2</t>
  </si>
  <si>
    <t>5240320,00</t>
  </si>
  <si>
    <t>PROTECT4 SERVICOS EM TECNOLOGIA DA INFORMACAO LTDA</t>
  </si>
  <si>
    <t>SUPERIOR TRIBUNAL DE JUSTICA</t>
  </si>
  <si>
    <t>050001 - STJ _ SUPERIOR TRIBUNAL DE JUSTICA/DF</t>
  </si>
  <si>
    <t>28/11/2023</t>
  </si>
  <si>
    <t>PREVIC</t>
  </si>
  <si>
    <t>Vigência da ATA : até 18 de dezembro de 2024. Suporte de 60 meses. HITACHI.</t>
  </si>
  <si>
    <t>Todos os Softwares licenciados. Suporte de 60 meses. HUAWEI.</t>
  </si>
  <si>
    <t>HUAWEI</t>
  </si>
  <si>
    <t>PURE STORAGE</t>
  </si>
  <si>
    <t>MINISTÉRIO DA GESTÃO E DA INOVAÇÃO EM SERVIÇOS PÚBLICOS</t>
  </si>
  <si>
    <t>Unidade – Equipamento com 150 TB de armazenamento. Item 00002</t>
  </si>
  <si>
    <t>Unidade – Equipamento com 1000 TB de armazenamento. Item 0003</t>
  </si>
  <si>
    <t>Unidade – Equipamento com 300 TB de armazenamento. Item 0004</t>
  </si>
  <si>
    <t>Valor Previsto</t>
  </si>
  <si>
    <t>Necessidade ANAC (TB)</t>
  </si>
  <si>
    <t>CompWire</t>
  </si>
  <si>
    <r>
      <t xml:space="preserve">Storage SAN “All-Flash” NVMe Capacidade “líquida” </t>
    </r>
    <r>
      <rPr>
        <b/>
        <sz val="11"/>
        <color theme="1"/>
        <rFont val="Calibri"/>
        <family val="2"/>
        <scheme val="minor"/>
      </rPr>
      <t>100 TiB</t>
    </r>
    <r>
      <rPr>
        <sz val="11"/>
        <color theme="1"/>
        <rFont val="Calibri"/>
        <family val="2"/>
        <scheme val="minor"/>
      </rPr>
      <t xml:space="preserve"> baseados em RAID 6 com Discos SSD NVMe. Garantia/Suporte 60 meses. HUAWEI</t>
    </r>
  </si>
  <si>
    <t>Valor Previsto 05 Anos</t>
  </si>
  <si>
    <t>Médias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</si>
</sst>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0" borderId="0"/>
  </cellStyleXfs>
  <cellXfs count="2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0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4" fontId="0" fillId="0" borderId="0" xfId="0" applyNumberFormat="1"/>
    <xf numFmtId="44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44" fontId="0" fillId="0" borderId="1" xfId="0" applyNumberFormat="1" applyBorder="1"/>
    <xf numFmtId="0" fontId="6" fillId="0" borderId="0" xfId="2"/>
    <xf numFmtId="0" fontId="7" fillId="0" borderId="0" xfId="2" applyFont="1"/>
    <xf numFmtId="0" fontId="7" fillId="2" borderId="0" xfId="2" applyFont="1" applyFill="1"/>
    <xf numFmtId="0" fontId="0" fillId="0" borderId="1" xfId="0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2" fontId="0" fillId="0" borderId="1" xfId="0" applyNumberFormat="1" applyBorder="1"/>
    <xf numFmtId="44" fontId="0" fillId="3" borderId="1" xfId="0" applyNumberFormat="1" applyFill="1" applyBorder="1" applyAlignment="1">
      <alignment horizontal="center" vertical="center"/>
    </xf>
    <xf numFmtId="44" fontId="2" fillId="0" borderId="1" xfId="0" applyNumberFormat="1" applyFont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4" fontId="0" fillId="0" borderId="1" xfId="0" applyNumberFormat="1" applyFill="1" applyBorder="1" applyAlignment="1">
      <alignment horizontal="center" vertical="center"/>
    </xf>
  </cellXfs>
  <cellStyles count="3">
    <cellStyle name="Moeda" xfId="1" builtinId="4"/>
    <cellStyle name="Normal" xfId="0" builtinId="0"/>
    <cellStyle name="Normal 2" xfId="2" xr:uid="{6C0C2314-6B61-4AFA-A9CB-732B6C4DA7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24</xdr:col>
      <xdr:colOff>333375</xdr:colOff>
      <xdr:row>36</xdr:row>
      <xdr:rowOff>65175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5D3B358-383F-4EBD-B0B1-D78703481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4963775" cy="6923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485D9-770F-4ABD-91E5-01B626BA94CA}">
  <dimension ref="A1:N20"/>
  <sheetViews>
    <sheetView zoomScale="90" zoomScaleNormal="90" workbookViewId="0">
      <selection activeCell="I8" sqref="I8"/>
    </sheetView>
  </sheetViews>
  <sheetFormatPr defaultRowHeight="15" x14ac:dyDescent="0.25"/>
  <cols>
    <col min="1" max="1" width="12.42578125" style="3" bestFit="1" customWidth="1"/>
    <col min="2" max="2" width="11.7109375" style="3" bestFit="1" customWidth="1"/>
    <col min="3" max="3" width="19.85546875" style="3" bestFit="1" customWidth="1"/>
    <col min="4" max="4" width="16.140625" style="3" bestFit="1" customWidth="1"/>
    <col min="5" max="5" width="60.28515625" style="3" customWidth="1"/>
    <col min="6" max="6" width="10.5703125" style="3" customWidth="1"/>
    <col min="7" max="7" width="18.140625" style="3" bestFit="1" customWidth="1"/>
    <col min="8" max="8" width="18.42578125" style="3" customWidth="1"/>
    <col min="9" max="9" width="33.140625" style="3" customWidth="1"/>
    <col min="10" max="10" width="16.28515625" bestFit="1" customWidth="1"/>
    <col min="11" max="11" width="16.85546875" bestFit="1" customWidth="1"/>
    <col min="12" max="12" width="18.140625" bestFit="1" customWidth="1"/>
    <col min="13" max="13" width="18.42578125" bestFit="1" customWidth="1"/>
    <col min="14" max="14" width="16.7109375" bestFit="1" customWidth="1"/>
  </cols>
  <sheetData>
    <row r="1" spans="1:14" ht="30" x14ac:dyDescent="0.25">
      <c r="A1" s="1" t="s">
        <v>4</v>
      </c>
      <c r="B1" s="1" t="s">
        <v>11</v>
      </c>
      <c r="C1" s="1" t="s">
        <v>24</v>
      </c>
      <c r="D1" s="1" t="s">
        <v>0</v>
      </c>
      <c r="E1" s="1" t="s">
        <v>1</v>
      </c>
      <c r="F1" s="1" t="s">
        <v>16</v>
      </c>
      <c r="G1" s="1" t="s">
        <v>14</v>
      </c>
      <c r="H1" s="1" t="s">
        <v>15</v>
      </c>
      <c r="I1" s="1" t="s">
        <v>10</v>
      </c>
      <c r="J1" s="1" t="s">
        <v>55</v>
      </c>
      <c r="K1" s="1" t="s">
        <v>144</v>
      </c>
      <c r="L1" s="1" t="s">
        <v>143</v>
      </c>
      <c r="M1" s="17" t="s">
        <v>147</v>
      </c>
      <c r="N1" s="22" t="s">
        <v>148</v>
      </c>
    </row>
    <row r="2" spans="1:14" ht="45" x14ac:dyDescent="0.25">
      <c r="A2" s="2" t="s">
        <v>5</v>
      </c>
      <c r="B2" s="1"/>
      <c r="C2" s="1"/>
      <c r="D2" s="2" t="s">
        <v>145</v>
      </c>
      <c r="E2" s="2" t="s">
        <v>3</v>
      </c>
      <c r="F2" s="2" t="s">
        <v>17</v>
      </c>
      <c r="G2" s="4">
        <v>75078.52</v>
      </c>
      <c r="H2" s="4">
        <v>900942.24</v>
      </c>
      <c r="I2" s="2" t="s">
        <v>30</v>
      </c>
      <c r="J2" s="4">
        <f>(H2/2)/212</f>
        <v>2124.8637735849056</v>
      </c>
      <c r="K2" s="1">
        <v>212</v>
      </c>
      <c r="L2" s="20">
        <f>K2*J2</f>
        <v>450471.12</v>
      </c>
      <c r="M2" s="21">
        <f>L2*5</f>
        <v>2252355.6</v>
      </c>
      <c r="N2" s="21">
        <f>AVERAGE(M2:M5)</f>
        <v>2345441.6124999998</v>
      </c>
    </row>
    <row r="3" spans="1:14" ht="45" x14ac:dyDescent="0.25">
      <c r="A3" s="2" t="s">
        <v>5</v>
      </c>
      <c r="B3" s="2" t="s">
        <v>25</v>
      </c>
      <c r="C3" s="2"/>
      <c r="D3" s="2" t="s">
        <v>2</v>
      </c>
      <c r="E3" s="2" t="s">
        <v>3</v>
      </c>
      <c r="F3" s="2" t="s">
        <v>17</v>
      </c>
      <c r="G3" s="4">
        <v>45077</v>
      </c>
      <c r="H3" s="4">
        <v>540924</v>
      </c>
      <c r="I3" s="2" t="s">
        <v>30</v>
      </c>
      <c r="J3" s="4">
        <f>(H3/2)/212</f>
        <v>1275.7641509433963</v>
      </c>
      <c r="K3" s="1">
        <v>212</v>
      </c>
      <c r="L3" s="20">
        <f t="shared" ref="L3:L6" si="0">K3*J3</f>
        <v>270462</v>
      </c>
      <c r="M3" s="21">
        <f>H3*5</f>
        <v>2704620</v>
      </c>
    </row>
    <row r="4" spans="1:14" ht="90" x14ac:dyDescent="0.25">
      <c r="A4" s="2" t="s">
        <v>5</v>
      </c>
      <c r="B4" s="2" t="s">
        <v>26</v>
      </c>
      <c r="C4" s="2" t="s">
        <v>27</v>
      </c>
      <c r="D4" s="2" t="s">
        <v>25</v>
      </c>
      <c r="E4" s="2" t="s">
        <v>53</v>
      </c>
      <c r="F4" s="2" t="s">
        <v>21</v>
      </c>
      <c r="G4" s="4">
        <v>57818.91</v>
      </c>
      <c r="H4" s="4">
        <v>1387653.84</v>
      </c>
      <c r="I4" s="2" t="s">
        <v>54</v>
      </c>
      <c r="J4" s="4">
        <f>H4/1024</f>
        <v>1355.1307031250001</v>
      </c>
      <c r="K4" s="1">
        <v>212</v>
      </c>
      <c r="L4" s="20">
        <f t="shared" si="0"/>
        <v>287287.70906250004</v>
      </c>
      <c r="M4" s="21">
        <f>H4*2.5</f>
        <v>3469134.6</v>
      </c>
    </row>
    <row r="5" spans="1:14" ht="75" x14ac:dyDescent="0.25">
      <c r="A5" s="2" t="s">
        <v>5</v>
      </c>
      <c r="B5" s="2" t="s">
        <v>28</v>
      </c>
      <c r="C5" s="2" t="s">
        <v>22</v>
      </c>
      <c r="D5" s="2" t="s">
        <v>23</v>
      </c>
      <c r="E5" s="2" t="s">
        <v>29</v>
      </c>
      <c r="F5" s="2" t="s">
        <v>17</v>
      </c>
      <c r="G5" s="4">
        <v>48083.33</v>
      </c>
      <c r="H5" s="4">
        <v>577000</v>
      </c>
      <c r="I5" s="2" t="s">
        <v>34</v>
      </c>
      <c r="J5" s="4">
        <f>H5/640</f>
        <v>901.5625</v>
      </c>
      <c r="K5" s="1">
        <v>212</v>
      </c>
      <c r="L5" s="20">
        <f t="shared" si="0"/>
        <v>191131.25</v>
      </c>
      <c r="M5" s="21">
        <f>L5*5</f>
        <v>955656.25</v>
      </c>
    </row>
    <row r="6" spans="1:14" ht="30" x14ac:dyDescent="0.25">
      <c r="A6" s="2" t="s">
        <v>5</v>
      </c>
      <c r="B6" s="2" t="s">
        <v>47</v>
      </c>
      <c r="C6" s="2" t="s">
        <v>33</v>
      </c>
      <c r="D6" s="2" t="s">
        <v>25</v>
      </c>
      <c r="E6" s="2" t="s">
        <v>48</v>
      </c>
      <c r="F6" s="2" t="s">
        <v>21</v>
      </c>
      <c r="G6" s="4">
        <v>86000</v>
      </c>
      <c r="H6" s="4">
        <v>2064000</v>
      </c>
      <c r="I6" s="8" t="s">
        <v>60</v>
      </c>
      <c r="J6" s="11">
        <f>H6/320</f>
        <v>6450</v>
      </c>
      <c r="K6" s="1">
        <v>212</v>
      </c>
      <c r="L6" s="20">
        <f t="shared" si="0"/>
        <v>1367400</v>
      </c>
      <c r="M6" s="21"/>
    </row>
    <row r="7" spans="1:14" ht="45" x14ac:dyDescent="0.25">
      <c r="A7" s="2" t="s">
        <v>6</v>
      </c>
      <c r="B7" s="2" t="s">
        <v>25</v>
      </c>
      <c r="C7" s="2"/>
      <c r="D7" s="2" t="s">
        <v>7</v>
      </c>
      <c r="E7" s="3" t="s">
        <v>8</v>
      </c>
      <c r="F7" s="2" t="s">
        <v>18</v>
      </c>
      <c r="G7" s="4">
        <v>9100</v>
      </c>
      <c r="H7" s="4">
        <v>546000</v>
      </c>
      <c r="I7" s="2" t="s">
        <v>30</v>
      </c>
      <c r="J7" s="10"/>
      <c r="K7" s="10"/>
      <c r="L7" s="10"/>
      <c r="M7" s="10"/>
    </row>
    <row r="8" spans="1:14" ht="75" x14ac:dyDescent="0.25">
      <c r="A8" s="2" t="s">
        <v>6</v>
      </c>
      <c r="B8" s="2" t="s">
        <v>31</v>
      </c>
      <c r="C8" s="2" t="s">
        <v>19</v>
      </c>
      <c r="D8" s="2" t="s">
        <v>7</v>
      </c>
      <c r="E8" s="5" t="s">
        <v>20</v>
      </c>
      <c r="F8" s="2" t="s">
        <v>17</v>
      </c>
      <c r="G8" s="4">
        <v>14400</v>
      </c>
      <c r="H8" s="4">
        <v>172800</v>
      </c>
      <c r="I8" s="2" t="s">
        <v>35</v>
      </c>
      <c r="J8" s="10"/>
      <c r="K8" s="10"/>
      <c r="L8" s="10"/>
      <c r="M8" s="18"/>
    </row>
    <row r="9" spans="1:14" ht="30" x14ac:dyDescent="0.25">
      <c r="A9" s="2" t="s">
        <v>6</v>
      </c>
      <c r="B9" s="2" t="s">
        <v>36</v>
      </c>
      <c r="C9" s="2" t="s">
        <v>37</v>
      </c>
      <c r="D9" s="2" t="s">
        <v>7</v>
      </c>
      <c r="E9" s="2" t="s">
        <v>38</v>
      </c>
      <c r="F9" s="2" t="s">
        <v>40</v>
      </c>
      <c r="G9" s="4">
        <v>5186</v>
      </c>
      <c r="H9" s="4">
        <v>155580</v>
      </c>
      <c r="I9" s="2" t="s">
        <v>43</v>
      </c>
      <c r="J9" s="10"/>
      <c r="K9" s="10"/>
      <c r="L9" s="10"/>
      <c r="M9" s="10"/>
    </row>
    <row r="10" spans="1:14" ht="45" x14ac:dyDescent="0.25">
      <c r="A10" s="2" t="s">
        <v>6</v>
      </c>
      <c r="B10" s="2" t="s">
        <v>36</v>
      </c>
      <c r="C10" s="2" t="s">
        <v>37</v>
      </c>
      <c r="D10" s="2" t="s">
        <v>7</v>
      </c>
      <c r="E10" s="2" t="s">
        <v>39</v>
      </c>
      <c r="F10" s="2" t="s">
        <v>40</v>
      </c>
      <c r="G10" s="4">
        <v>5258.6</v>
      </c>
      <c r="H10" s="7">
        <f>30*G10</f>
        <v>157758</v>
      </c>
      <c r="I10" s="2" t="s">
        <v>44</v>
      </c>
      <c r="J10" s="10"/>
      <c r="K10" s="10"/>
      <c r="L10" s="10"/>
      <c r="M10" s="10"/>
    </row>
    <row r="11" spans="1:14" ht="30" x14ac:dyDescent="0.25">
      <c r="A11" s="2" t="s">
        <v>6</v>
      </c>
      <c r="B11" s="2" t="s">
        <v>36</v>
      </c>
      <c r="C11" s="2" t="s">
        <v>37</v>
      </c>
      <c r="D11" s="2" t="s">
        <v>7</v>
      </c>
      <c r="E11" s="2" t="s">
        <v>41</v>
      </c>
      <c r="F11" s="2" t="s">
        <v>40</v>
      </c>
      <c r="G11" s="4">
        <v>2750</v>
      </c>
      <c r="H11" s="7">
        <f>30*G11</f>
        <v>82500</v>
      </c>
      <c r="I11" s="2" t="s">
        <v>45</v>
      </c>
      <c r="J11" s="10"/>
      <c r="K11" s="10"/>
      <c r="L11" s="10"/>
      <c r="M11" s="10"/>
    </row>
    <row r="12" spans="1:14" ht="30" x14ac:dyDescent="0.25">
      <c r="A12" s="2" t="s">
        <v>6</v>
      </c>
      <c r="B12" s="2" t="s">
        <v>36</v>
      </c>
      <c r="C12" s="2" t="s">
        <v>37</v>
      </c>
      <c r="D12" s="2" t="s">
        <v>7</v>
      </c>
      <c r="E12" s="2" t="s">
        <v>42</v>
      </c>
      <c r="F12" s="2" t="s">
        <v>40</v>
      </c>
      <c r="G12" s="4">
        <v>1700</v>
      </c>
      <c r="H12" s="7">
        <f>30*G12</f>
        <v>51000</v>
      </c>
      <c r="I12" s="2" t="s">
        <v>46</v>
      </c>
      <c r="J12" s="10"/>
      <c r="K12" s="10"/>
      <c r="L12" s="10"/>
      <c r="M12" s="10"/>
    </row>
    <row r="13" spans="1:14" ht="60" x14ac:dyDescent="0.25">
      <c r="A13" s="2" t="s">
        <v>9</v>
      </c>
      <c r="B13" s="2" t="s">
        <v>32</v>
      </c>
      <c r="C13" s="2" t="s">
        <v>33</v>
      </c>
      <c r="D13" s="2" t="s">
        <v>12</v>
      </c>
      <c r="E13" s="2" t="s">
        <v>13</v>
      </c>
      <c r="F13" s="2">
        <v>1</v>
      </c>
      <c r="G13" s="4">
        <v>2987190</v>
      </c>
      <c r="H13" s="4">
        <v>2987190</v>
      </c>
      <c r="I13" s="2" t="s">
        <v>52</v>
      </c>
      <c r="J13" s="4">
        <f>G13/600</f>
        <v>4978.6499999999996</v>
      </c>
      <c r="K13" s="15">
        <v>212</v>
      </c>
      <c r="L13" s="16">
        <f>K13*J13</f>
        <v>1055473.7999999998</v>
      </c>
      <c r="M13" s="16">
        <f>L13*2</f>
        <v>2110947.5999999996</v>
      </c>
      <c r="N13" s="16">
        <f>AVERAGE(M13:M19)</f>
        <v>1957105.0673063323</v>
      </c>
    </row>
    <row r="14" spans="1:14" ht="60" x14ac:dyDescent="0.25">
      <c r="A14" s="2" t="s">
        <v>9</v>
      </c>
      <c r="B14" s="2" t="s">
        <v>49</v>
      </c>
      <c r="C14" s="2" t="s">
        <v>50</v>
      </c>
      <c r="D14" s="2" t="s">
        <v>12</v>
      </c>
      <c r="E14" s="2" t="s">
        <v>51</v>
      </c>
      <c r="F14" s="2">
        <v>1</v>
      </c>
      <c r="G14" s="4">
        <v>1019433.04</v>
      </c>
      <c r="H14" s="4">
        <v>1019433.04</v>
      </c>
      <c r="I14" s="2" t="s">
        <v>136</v>
      </c>
      <c r="J14" s="4">
        <f>G14/342</f>
        <v>2980.7983625730994</v>
      </c>
      <c r="K14" s="15">
        <v>212</v>
      </c>
      <c r="L14" s="16">
        <f t="shared" ref="L14:L19" si="1">K14*J14</f>
        <v>631929.25286549702</v>
      </c>
      <c r="M14" s="19">
        <f>L14*2</f>
        <v>1263858.505730994</v>
      </c>
    </row>
    <row r="15" spans="1:14" ht="150" x14ac:dyDescent="0.25">
      <c r="A15" s="2" t="s">
        <v>9</v>
      </c>
      <c r="B15" s="9" t="s">
        <v>57</v>
      </c>
      <c r="C15" s="2" t="s">
        <v>56</v>
      </c>
      <c r="D15" s="2" t="s">
        <v>58</v>
      </c>
      <c r="E15" s="2" t="s">
        <v>59</v>
      </c>
      <c r="F15" s="2">
        <v>1</v>
      </c>
      <c r="G15" s="4">
        <v>3200000</v>
      </c>
      <c r="H15" s="4">
        <v>3200000</v>
      </c>
      <c r="I15" s="2" t="s">
        <v>135</v>
      </c>
      <c r="J15" s="4">
        <f>G15/240</f>
        <v>13333.333333333334</v>
      </c>
      <c r="K15" s="15">
        <v>212</v>
      </c>
      <c r="L15" s="16">
        <f t="shared" si="1"/>
        <v>2826666.666666667</v>
      </c>
      <c r="M15" s="16">
        <v>0</v>
      </c>
    </row>
    <row r="16" spans="1:14" ht="45" x14ac:dyDescent="0.25">
      <c r="A16" s="2" t="s">
        <v>9</v>
      </c>
      <c r="B16" s="2" t="s">
        <v>88</v>
      </c>
      <c r="C16" s="2" t="s">
        <v>134</v>
      </c>
      <c r="D16" s="2" t="s">
        <v>91</v>
      </c>
      <c r="E16" s="2" t="s">
        <v>146</v>
      </c>
      <c r="F16" s="2">
        <v>1</v>
      </c>
      <c r="G16" s="4">
        <v>685000</v>
      </c>
      <c r="H16" s="4">
        <v>685000</v>
      </c>
      <c r="I16" s="2" t="s">
        <v>137</v>
      </c>
      <c r="J16" s="4">
        <f>H16/100</f>
        <v>6850</v>
      </c>
      <c r="K16" s="15">
        <v>212</v>
      </c>
      <c r="L16" s="16">
        <f t="shared" si="1"/>
        <v>1452200</v>
      </c>
      <c r="M16" s="16">
        <f>L16*2</f>
        <v>2904400</v>
      </c>
    </row>
    <row r="17" spans="1:13" ht="60" x14ac:dyDescent="0.25">
      <c r="A17" s="2" t="s">
        <v>9</v>
      </c>
      <c r="B17" s="2" t="s">
        <v>94</v>
      </c>
      <c r="C17" s="2" t="s">
        <v>139</v>
      </c>
      <c r="D17" s="2" t="s">
        <v>97</v>
      </c>
      <c r="E17" s="2" t="s">
        <v>140</v>
      </c>
      <c r="F17" s="2">
        <v>1</v>
      </c>
      <c r="G17" s="4">
        <v>929624.14</v>
      </c>
      <c r="H17" s="4">
        <v>929624.14</v>
      </c>
      <c r="I17" s="2" t="s">
        <v>138</v>
      </c>
      <c r="J17" s="4">
        <f>G17/150</f>
        <v>6197.4942666666666</v>
      </c>
      <c r="K17" s="15">
        <v>212</v>
      </c>
      <c r="L17" s="16">
        <f t="shared" si="1"/>
        <v>1313868.7845333333</v>
      </c>
      <c r="M17" s="16">
        <f>L17*2</f>
        <v>2627737.5690666665</v>
      </c>
    </row>
    <row r="18" spans="1:13" ht="60" x14ac:dyDescent="0.25">
      <c r="A18" s="2" t="s">
        <v>9</v>
      </c>
      <c r="B18" s="2" t="s">
        <v>94</v>
      </c>
      <c r="C18" s="2" t="s">
        <v>139</v>
      </c>
      <c r="D18" s="2" t="s">
        <v>97</v>
      </c>
      <c r="E18" s="2" t="s">
        <v>141</v>
      </c>
      <c r="F18" s="2">
        <v>1</v>
      </c>
      <c r="G18" s="4">
        <v>5119452.7699999996</v>
      </c>
      <c r="H18" s="4">
        <v>5119452.7699999996</v>
      </c>
      <c r="I18" s="2" t="s">
        <v>138</v>
      </c>
      <c r="J18" s="4">
        <f>G18/1000</f>
        <v>5119.4527699999999</v>
      </c>
      <c r="K18" s="15">
        <v>212</v>
      </c>
      <c r="L18" s="16">
        <f t="shared" si="1"/>
        <v>1085323.9872399999</v>
      </c>
      <c r="M18" s="16">
        <f t="shared" ref="M18:M19" si="2">L18*2</f>
        <v>2170647.9744799999</v>
      </c>
    </row>
    <row r="19" spans="1:13" ht="60" x14ac:dyDescent="0.25">
      <c r="A19" s="2" t="s">
        <v>9</v>
      </c>
      <c r="B19" s="2" t="s">
        <v>94</v>
      </c>
      <c r="C19" s="2" t="s">
        <v>139</v>
      </c>
      <c r="D19" s="2" t="s">
        <v>97</v>
      </c>
      <c r="E19" s="2" t="s">
        <v>142</v>
      </c>
      <c r="F19" s="2">
        <v>1</v>
      </c>
      <c r="G19" s="4">
        <v>1855290.44</v>
      </c>
      <c r="H19" s="4">
        <v>1855290.44</v>
      </c>
      <c r="I19" s="2" t="s">
        <v>138</v>
      </c>
      <c r="J19" s="4">
        <f>G19/300</f>
        <v>6184.3014666666668</v>
      </c>
      <c r="K19" s="15">
        <v>212</v>
      </c>
      <c r="L19" s="16">
        <f t="shared" si="1"/>
        <v>1311071.9109333334</v>
      </c>
      <c r="M19" s="16">
        <f t="shared" si="2"/>
        <v>2622143.8218666669</v>
      </c>
    </row>
    <row r="20" spans="1:13" x14ac:dyDescent="0.25">
      <c r="L20" s="6"/>
    </row>
  </sheetData>
  <autoFilter ref="A1:M19" xr:uid="{4DC485D9-770F-4ABD-91E5-01B626BA94CA}"/>
  <phoneticPr fontId="3" type="noConversion"/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BB404-C02F-4A48-94D0-D8D65827EE8B}">
  <dimension ref="A1:L16"/>
  <sheetViews>
    <sheetView workbookViewId="0">
      <selection activeCell="C4" sqref="C4"/>
    </sheetView>
  </sheetViews>
  <sheetFormatPr defaultRowHeight="15" x14ac:dyDescent="0.25"/>
  <cols>
    <col min="1" max="1" width="28" bestFit="1" customWidth="1"/>
    <col min="2" max="2" width="31.28515625" bestFit="1" customWidth="1"/>
    <col min="3" max="3" width="26.7109375" bestFit="1" customWidth="1"/>
    <col min="4" max="4" width="18.140625" bestFit="1" customWidth="1"/>
    <col min="5" max="5" width="201.7109375" hidden="1" customWidth="1"/>
    <col min="6" max="6" width="24.5703125" bestFit="1" customWidth="1"/>
    <col min="7" max="7" width="20" bestFit="1" customWidth="1"/>
    <col min="8" max="8" width="13.5703125" bestFit="1" customWidth="1"/>
    <col min="9" max="9" width="56.140625" bestFit="1" customWidth="1"/>
    <col min="10" max="10" width="51.28515625" bestFit="1" customWidth="1"/>
    <col min="11" max="11" width="57.85546875" bestFit="1" customWidth="1"/>
    <col min="12" max="12" width="15" bestFit="1" customWidth="1"/>
  </cols>
  <sheetData>
    <row r="1" spans="1:12" x14ac:dyDescent="0.25">
      <c r="A1" s="13" t="s">
        <v>61</v>
      </c>
      <c r="B1" s="12" t="s">
        <v>62</v>
      </c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x14ac:dyDescent="0.25">
      <c r="A2" s="13" t="s">
        <v>63</v>
      </c>
      <c r="B2" s="12">
        <v>11</v>
      </c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x14ac:dyDescent="0.25">
      <c r="A3" s="13" t="s">
        <v>64</v>
      </c>
      <c r="B3" s="12" t="s">
        <v>65</v>
      </c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x14ac:dyDescent="0.25">
      <c r="A4" s="13" t="s">
        <v>66</v>
      </c>
      <c r="B4" s="12" t="s">
        <v>67</v>
      </c>
      <c r="C4" s="12" t="s">
        <v>68</v>
      </c>
      <c r="D4" s="12"/>
      <c r="E4" s="12"/>
      <c r="F4" s="12"/>
      <c r="G4" s="12"/>
      <c r="H4" s="12"/>
      <c r="I4" s="12"/>
      <c r="J4" s="12"/>
      <c r="K4" s="12"/>
      <c r="L4" s="12"/>
    </row>
    <row r="5" spans="1:12" x14ac:dyDescent="0.25">
      <c r="A5" s="14" t="s">
        <v>69</v>
      </c>
      <c r="B5" s="14" t="s">
        <v>70</v>
      </c>
      <c r="C5" s="14" t="s">
        <v>71</v>
      </c>
      <c r="D5" s="14" t="s">
        <v>72</v>
      </c>
      <c r="E5" s="14" t="s">
        <v>1</v>
      </c>
      <c r="F5" s="14" t="s">
        <v>73</v>
      </c>
      <c r="G5" s="14" t="s">
        <v>74</v>
      </c>
      <c r="H5" s="14" t="s">
        <v>14</v>
      </c>
      <c r="I5" s="14" t="s">
        <v>75</v>
      </c>
      <c r="J5" s="14" t="s">
        <v>24</v>
      </c>
      <c r="K5" s="14" t="s">
        <v>76</v>
      </c>
      <c r="L5" s="14" t="s">
        <v>77</v>
      </c>
    </row>
    <row r="6" spans="1:12" x14ac:dyDescent="0.25">
      <c r="A6" s="12" t="s">
        <v>78</v>
      </c>
      <c r="B6" s="12" t="s">
        <v>79</v>
      </c>
      <c r="C6" s="12" t="s">
        <v>11</v>
      </c>
      <c r="D6" s="12">
        <v>404135</v>
      </c>
      <c r="E6" s="12" t="s">
        <v>80</v>
      </c>
      <c r="F6" s="12" t="s">
        <v>81</v>
      </c>
      <c r="G6" s="12" t="s">
        <v>82</v>
      </c>
      <c r="H6" s="12" t="s">
        <v>83</v>
      </c>
      <c r="I6" s="12" t="s">
        <v>84</v>
      </c>
      <c r="J6" s="12" t="s">
        <v>85</v>
      </c>
      <c r="K6" s="12" t="s">
        <v>86</v>
      </c>
      <c r="L6" s="12" t="s">
        <v>87</v>
      </c>
    </row>
    <row r="7" spans="1:12" x14ac:dyDescent="0.25">
      <c r="A7" s="12" t="s">
        <v>88</v>
      </c>
      <c r="B7" s="12" t="s">
        <v>89</v>
      </c>
      <c r="C7" s="12" t="s">
        <v>11</v>
      </c>
      <c r="D7" s="12">
        <v>404135</v>
      </c>
      <c r="E7" s="12" t="s">
        <v>80</v>
      </c>
      <c r="F7" s="12" t="s">
        <v>81</v>
      </c>
      <c r="G7" s="12" t="s">
        <v>82</v>
      </c>
      <c r="H7" s="12" t="s">
        <v>90</v>
      </c>
      <c r="I7" s="12" t="s">
        <v>91</v>
      </c>
      <c r="J7" s="12" t="s">
        <v>92</v>
      </c>
      <c r="K7" s="12" t="s">
        <v>93</v>
      </c>
      <c r="L7" s="12" t="s">
        <v>87</v>
      </c>
    </row>
    <row r="8" spans="1:12" x14ac:dyDescent="0.25">
      <c r="A8" s="12" t="s">
        <v>94</v>
      </c>
      <c r="B8" s="12" t="s">
        <v>95</v>
      </c>
      <c r="C8" s="12" t="s">
        <v>11</v>
      </c>
      <c r="D8" s="12">
        <v>404135</v>
      </c>
      <c r="E8" s="12" t="s">
        <v>80</v>
      </c>
      <c r="F8" s="12" t="s">
        <v>81</v>
      </c>
      <c r="G8" s="12" t="s">
        <v>82</v>
      </c>
      <c r="H8" s="12" t="s">
        <v>96</v>
      </c>
      <c r="I8" s="12" t="s">
        <v>97</v>
      </c>
      <c r="J8" s="12" t="s">
        <v>98</v>
      </c>
      <c r="K8" s="12" t="s">
        <v>99</v>
      </c>
      <c r="L8" s="12" t="s">
        <v>100</v>
      </c>
    </row>
    <row r="9" spans="1:12" x14ac:dyDescent="0.25">
      <c r="A9" s="12" t="s">
        <v>101</v>
      </c>
      <c r="B9" s="12" t="s">
        <v>102</v>
      </c>
      <c r="C9" s="12" t="s">
        <v>11</v>
      </c>
      <c r="D9" s="12">
        <v>404135</v>
      </c>
      <c r="E9" s="12" t="s">
        <v>80</v>
      </c>
      <c r="F9" s="12" t="s">
        <v>81</v>
      </c>
      <c r="G9" s="12" t="s">
        <v>103</v>
      </c>
      <c r="H9" s="12" t="s">
        <v>104</v>
      </c>
      <c r="I9" s="12" t="s">
        <v>105</v>
      </c>
      <c r="J9" s="12" t="s">
        <v>106</v>
      </c>
      <c r="K9" s="12" t="s">
        <v>107</v>
      </c>
      <c r="L9" s="12" t="s">
        <v>108</v>
      </c>
    </row>
    <row r="10" spans="1:12" x14ac:dyDescent="0.25">
      <c r="A10" s="12" t="s">
        <v>94</v>
      </c>
      <c r="B10" s="12" t="s">
        <v>79</v>
      </c>
      <c r="C10" s="12" t="s">
        <v>11</v>
      </c>
      <c r="D10" s="12">
        <v>404135</v>
      </c>
      <c r="E10" s="12" t="s">
        <v>80</v>
      </c>
      <c r="F10" s="12" t="s">
        <v>81</v>
      </c>
      <c r="G10" s="12" t="s">
        <v>82</v>
      </c>
      <c r="H10" s="12" t="s">
        <v>109</v>
      </c>
      <c r="I10" s="12" t="s">
        <v>97</v>
      </c>
      <c r="J10" s="12" t="s">
        <v>98</v>
      </c>
      <c r="K10" s="12" t="s">
        <v>99</v>
      </c>
      <c r="L10" s="12" t="s">
        <v>100</v>
      </c>
    </row>
    <row r="11" spans="1:12" x14ac:dyDescent="0.25">
      <c r="A11" s="12" t="s">
        <v>94</v>
      </c>
      <c r="B11" s="12" t="s">
        <v>89</v>
      </c>
      <c r="C11" s="12" t="s">
        <v>11</v>
      </c>
      <c r="D11" s="12">
        <v>404135</v>
      </c>
      <c r="E11" s="12" t="s">
        <v>80</v>
      </c>
      <c r="F11" s="12" t="s">
        <v>81</v>
      </c>
      <c r="G11" s="12" t="s">
        <v>82</v>
      </c>
      <c r="H11" s="12" t="s">
        <v>110</v>
      </c>
      <c r="I11" s="12" t="s">
        <v>97</v>
      </c>
      <c r="J11" s="12" t="s">
        <v>98</v>
      </c>
      <c r="K11" s="12" t="s">
        <v>99</v>
      </c>
      <c r="L11" s="12" t="s">
        <v>100</v>
      </c>
    </row>
    <row r="12" spans="1:12" x14ac:dyDescent="0.25">
      <c r="A12" s="12" t="s">
        <v>111</v>
      </c>
      <c r="B12" s="12" t="s">
        <v>95</v>
      </c>
      <c r="C12" s="12" t="s">
        <v>11</v>
      </c>
      <c r="D12" s="12">
        <v>404135</v>
      </c>
      <c r="E12" s="12" t="s">
        <v>80</v>
      </c>
      <c r="F12" s="12" t="s">
        <v>81</v>
      </c>
      <c r="G12" s="12" t="s">
        <v>82</v>
      </c>
      <c r="H12" s="12" t="s">
        <v>112</v>
      </c>
      <c r="I12" s="12" t="s">
        <v>113</v>
      </c>
      <c r="J12" s="12" t="s">
        <v>114</v>
      </c>
      <c r="K12" s="12" t="s">
        <v>115</v>
      </c>
      <c r="L12" s="12" t="s">
        <v>116</v>
      </c>
    </row>
    <row r="13" spans="1:12" x14ac:dyDescent="0.25">
      <c r="A13" s="12" t="s">
        <v>117</v>
      </c>
      <c r="B13" s="12" t="s">
        <v>89</v>
      </c>
      <c r="C13" s="12" t="s">
        <v>11</v>
      </c>
      <c r="D13" s="12">
        <v>404135</v>
      </c>
      <c r="E13" s="12" t="s">
        <v>80</v>
      </c>
      <c r="F13" s="12" t="s">
        <v>81</v>
      </c>
      <c r="G13" s="12" t="s">
        <v>82</v>
      </c>
      <c r="H13" s="12" t="s">
        <v>118</v>
      </c>
      <c r="I13" s="12" t="s">
        <v>119</v>
      </c>
      <c r="J13" s="12" t="s">
        <v>120</v>
      </c>
      <c r="K13" s="12" t="s">
        <v>121</v>
      </c>
      <c r="L13" s="12" t="s">
        <v>122</v>
      </c>
    </row>
    <row r="14" spans="1:12" x14ac:dyDescent="0.25">
      <c r="A14" s="12" t="s">
        <v>101</v>
      </c>
      <c r="B14" s="12" t="s">
        <v>89</v>
      </c>
      <c r="C14" s="12" t="s">
        <v>11</v>
      </c>
      <c r="D14" s="12">
        <v>404135</v>
      </c>
      <c r="E14" s="12" t="s">
        <v>80</v>
      </c>
      <c r="F14" s="12" t="s">
        <v>81</v>
      </c>
      <c r="G14" s="12" t="s">
        <v>82</v>
      </c>
      <c r="H14" s="12" t="s">
        <v>123</v>
      </c>
      <c r="I14" s="12" t="s">
        <v>124</v>
      </c>
      <c r="J14" s="12" t="s">
        <v>106</v>
      </c>
      <c r="K14" s="12" t="s">
        <v>107</v>
      </c>
      <c r="L14" s="12" t="s">
        <v>108</v>
      </c>
    </row>
    <row r="15" spans="1:12" x14ac:dyDescent="0.25">
      <c r="A15" s="12" t="s">
        <v>94</v>
      </c>
      <c r="B15" s="12" t="s">
        <v>125</v>
      </c>
      <c r="C15" s="12" t="s">
        <v>11</v>
      </c>
      <c r="D15" s="12">
        <v>404135</v>
      </c>
      <c r="E15" s="12" t="s">
        <v>80</v>
      </c>
      <c r="F15" s="12" t="s">
        <v>81</v>
      </c>
      <c r="G15" s="12" t="s">
        <v>82</v>
      </c>
      <c r="H15" s="12" t="s">
        <v>126</v>
      </c>
      <c r="I15" s="12" t="s">
        <v>97</v>
      </c>
      <c r="J15" s="12" t="s">
        <v>98</v>
      </c>
      <c r="K15" s="12" t="s">
        <v>99</v>
      </c>
      <c r="L15" s="12" t="s">
        <v>100</v>
      </c>
    </row>
    <row r="16" spans="1:12" x14ac:dyDescent="0.25">
      <c r="A16" s="12" t="s">
        <v>127</v>
      </c>
      <c r="B16" s="12" t="s">
        <v>89</v>
      </c>
      <c r="C16" s="12" t="s">
        <v>11</v>
      </c>
      <c r="D16" s="12">
        <v>404135</v>
      </c>
      <c r="E16" s="12" t="s">
        <v>80</v>
      </c>
      <c r="F16" s="12" t="s">
        <v>81</v>
      </c>
      <c r="G16" s="12" t="s">
        <v>128</v>
      </c>
      <c r="H16" s="12" t="s">
        <v>129</v>
      </c>
      <c r="I16" s="12" t="s">
        <v>130</v>
      </c>
      <c r="J16" s="12" t="s">
        <v>131</v>
      </c>
      <c r="K16" s="12" t="s">
        <v>132</v>
      </c>
      <c r="L16" s="12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269E7-6120-43F8-AE14-1CD8ACE30D2B}">
  <dimension ref="A1"/>
  <sheetViews>
    <sheetView workbookViewId="0">
      <selection activeCell="AA34" sqref="AA34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01EB9-AE9B-48CB-8BBB-91825EC1BA7F}">
  <dimension ref="A1:N20"/>
  <sheetViews>
    <sheetView tabSelected="1" zoomScale="90" zoomScaleNormal="90" workbookViewId="0">
      <selection activeCell="C15" sqref="C15"/>
    </sheetView>
  </sheetViews>
  <sheetFormatPr defaultRowHeight="15" x14ac:dyDescent="0.25"/>
  <cols>
    <col min="1" max="1" width="12.42578125" style="3" bestFit="1" customWidth="1"/>
    <col min="2" max="2" width="11.7109375" style="3" bestFit="1" customWidth="1"/>
    <col min="3" max="3" width="19.85546875" style="3" bestFit="1" customWidth="1"/>
    <col min="4" max="4" width="16.140625" style="3" bestFit="1" customWidth="1"/>
    <col min="5" max="5" width="60.28515625" style="3" customWidth="1"/>
    <col min="6" max="6" width="10.5703125" style="3" customWidth="1"/>
    <col min="7" max="7" width="18.140625" style="3" bestFit="1" customWidth="1"/>
    <col min="8" max="8" width="18.42578125" style="3" customWidth="1"/>
    <col min="9" max="9" width="33.140625" style="3" hidden="1" customWidth="1"/>
    <col min="10" max="10" width="16.28515625" bestFit="1" customWidth="1"/>
    <col min="11" max="11" width="17" bestFit="1" customWidth="1"/>
    <col min="12" max="12" width="18.140625" customWidth="1"/>
    <col min="13" max="13" width="18.42578125" bestFit="1" customWidth="1"/>
    <col min="14" max="14" width="16.7109375" bestFit="1" customWidth="1"/>
  </cols>
  <sheetData>
    <row r="1" spans="1:14" ht="30" x14ac:dyDescent="0.25">
      <c r="A1" s="1" t="s">
        <v>4</v>
      </c>
      <c r="B1" s="1" t="s">
        <v>11</v>
      </c>
      <c r="C1" s="1" t="s">
        <v>24</v>
      </c>
      <c r="D1" s="1" t="s">
        <v>0</v>
      </c>
      <c r="E1" s="1" t="s">
        <v>1</v>
      </c>
      <c r="F1" s="1" t="s">
        <v>16</v>
      </c>
      <c r="G1" s="1" t="s">
        <v>14</v>
      </c>
      <c r="H1" s="1" t="s">
        <v>15</v>
      </c>
      <c r="I1" s="1" t="s">
        <v>10</v>
      </c>
      <c r="J1" s="1" t="s">
        <v>55</v>
      </c>
      <c r="K1" s="1" t="s">
        <v>144</v>
      </c>
      <c r="L1" s="1" t="s">
        <v>143</v>
      </c>
      <c r="M1" s="23" t="s">
        <v>147</v>
      </c>
      <c r="N1" s="22" t="s">
        <v>148</v>
      </c>
    </row>
    <row r="2" spans="1:14" ht="45" x14ac:dyDescent="0.25">
      <c r="A2" s="2" t="s">
        <v>5</v>
      </c>
      <c r="B2" s="1" t="s">
        <v>25</v>
      </c>
      <c r="C2" s="1"/>
      <c r="D2" s="2" t="s">
        <v>145</v>
      </c>
      <c r="E2" s="2" t="s">
        <v>3</v>
      </c>
      <c r="F2" s="2" t="s">
        <v>17</v>
      </c>
      <c r="G2" s="4">
        <v>75078.52</v>
      </c>
      <c r="H2" s="4">
        <v>900942.24</v>
      </c>
      <c r="I2" s="2" t="s">
        <v>30</v>
      </c>
      <c r="J2" s="4">
        <f>(H2/2)/212</f>
        <v>2124.8637735849056</v>
      </c>
      <c r="K2" s="1">
        <v>212</v>
      </c>
      <c r="L2" s="20">
        <f>K2*J2</f>
        <v>450471.12</v>
      </c>
      <c r="M2" s="21">
        <f>L2*5</f>
        <v>2252355.6</v>
      </c>
      <c r="N2" s="21">
        <f>AVERAGE(M2:M5)</f>
        <v>2345441.6124999998</v>
      </c>
    </row>
    <row r="3" spans="1:14" ht="45" x14ac:dyDescent="0.25">
      <c r="A3" s="2" t="s">
        <v>5</v>
      </c>
      <c r="B3" s="2" t="s">
        <v>25</v>
      </c>
      <c r="C3" s="2"/>
      <c r="D3" s="2" t="s">
        <v>2</v>
      </c>
      <c r="E3" s="2" t="s">
        <v>3</v>
      </c>
      <c r="F3" s="2" t="s">
        <v>17</v>
      </c>
      <c r="G3" s="4">
        <v>45077</v>
      </c>
      <c r="H3" s="4">
        <v>540924</v>
      </c>
      <c r="I3" s="2" t="s">
        <v>30</v>
      </c>
      <c r="J3" s="4">
        <f>(H3/2)/212</f>
        <v>1275.7641509433963</v>
      </c>
      <c r="K3" s="1">
        <v>212</v>
      </c>
      <c r="L3" s="20">
        <f t="shared" ref="L3:L6" si="0">K3*J3</f>
        <v>270462</v>
      </c>
      <c r="M3" s="21">
        <f>H3*5</f>
        <v>2704620</v>
      </c>
    </row>
    <row r="4" spans="1:14" ht="90" x14ac:dyDescent="0.25">
      <c r="A4" s="2" t="s">
        <v>5</v>
      </c>
      <c r="B4" s="2" t="s">
        <v>26</v>
      </c>
      <c r="C4" s="2" t="s">
        <v>27</v>
      </c>
      <c r="D4" s="2" t="s">
        <v>25</v>
      </c>
      <c r="E4" s="2" t="s">
        <v>53</v>
      </c>
      <c r="F4" s="2" t="s">
        <v>21</v>
      </c>
      <c r="G4" s="4">
        <v>57818.91</v>
      </c>
      <c r="H4" s="4">
        <v>1387653.84</v>
      </c>
      <c r="I4" s="2" t="s">
        <v>54</v>
      </c>
      <c r="J4" s="4">
        <f>H4/1024</f>
        <v>1355.1307031250001</v>
      </c>
      <c r="K4" s="1">
        <v>212</v>
      </c>
      <c r="L4" s="20">
        <f t="shared" si="0"/>
        <v>287287.70906250004</v>
      </c>
      <c r="M4" s="21">
        <f>H4*2.5</f>
        <v>3469134.6</v>
      </c>
    </row>
    <row r="5" spans="1:14" ht="75" x14ac:dyDescent="0.25">
      <c r="A5" s="2" t="s">
        <v>5</v>
      </c>
      <c r="B5" s="2" t="s">
        <v>28</v>
      </c>
      <c r="C5" s="2" t="s">
        <v>22</v>
      </c>
      <c r="D5" s="2" t="s">
        <v>23</v>
      </c>
      <c r="E5" s="2" t="s">
        <v>29</v>
      </c>
      <c r="F5" s="2" t="s">
        <v>17</v>
      </c>
      <c r="G5" s="4">
        <v>48083.33</v>
      </c>
      <c r="H5" s="4">
        <v>577000</v>
      </c>
      <c r="I5" s="2" t="s">
        <v>34</v>
      </c>
      <c r="J5" s="4">
        <f>H5/640</f>
        <v>901.5625</v>
      </c>
      <c r="K5" s="1">
        <v>212</v>
      </c>
      <c r="L5" s="20">
        <f t="shared" si="0"/>
        <v>191131.25</v>
      </c>
      <c r="M5" s="21">
        <f>L5*5</f>
        <v>955656.25</v>
      </c>
    </row>
    <row r="6" spans="1:14" ht="30" x14ac:dyDescent="0.25">
      <c r="A6" s="2" t="s">
        <v>5</v>
      </c>
      <c r="B6" s="2" t="s">
        <v>47</v>
      </c>
      <c r="C6" s="2" t="s">
        <v>33</v>
      </c>
      <c r="D6" s="2" t="s">
        <v>25</v>
      </c>
      <c r="E6" s="2" t="s">
        <v>48</v>
      </c>
      <c r="F6" s="2" t="s">
        <v>21</v>
      </c>
      <c r="G6" s="4">
        <v>86000</v>
      </c>
      <c r="H6" s="4">
        <v>2064000</v>
      </c>
      <c r="I6" s="8" t="s">
        <v>60</v>
      </c>
      <c r="J6" s="11">
        <f>H6/320</f>
        <v>6450</v>
      </c>
      <c r="K6" s="1">
        <v>212</v>
      </c>
      <c r="L6" s="20">
        <f t="shared" si="0"/>
        <v>1367400</v>
      </c>
      <c r="M6" s="21"/>
    </row>
    <row r="7" spans="1:14" ht="45" x14ac:dyDescent="0.25">
      <c r="A7" s="2" t="s">
        <v>6</v>
      </c>
      <c r="B7" s="2" t="s">
        <v>25</v>
      </c>
      <c r="C7" s="2"/>
      <c r="D7" s="2" t="s">
        <v>7</v>
      </c>
      <c r="E7" s="3" t="s">
        <v>8</v>
      </c>
      <c r="F7" s="2" t="s">
        <v>18</v>
      </c>
      <c r="G7" s="4">
        <v>9100</v>
      </c>
      <c r="H7" s="4">
        <v>546000</v>
      </c>
      <c r="I7" s="2" t="s">
        <v>30</v>
      </c>
      <c r="J7" s="10"/>
      <c r="K7" s="10"/>
      <c r="L7" s="10"/>
      <c r="M7" s="10"/>
      <c r="N7" s="6">
        <f>H7/5</f>
        <v>109200</v>
      </c>
    </row>
    <row r="8" spans="1:14" ht="75" x14ac:dyDescent="0.25">
      <c r="A8" s="2" t="s">
        <v>6</v>
      </c>
      <c r="B8" s="2" t="s">
        <v>31</v>
      </c>
      <c r="C8" s="2" t="s">
        <v>19</v>
      </c>
      <c r="D8" s="2" t="s">
        <v>7</v>
      </c>
      <c r="E8" s="5" t="s">
        <v>20</v>
      </c>
      <c r="F8" s="2" t="s">
        <v>17</v>
      </c>
      <c r="G8" s="4">
        <v>14400</v>
      </c>
      <c r="H8" s="4">
        <v>172800</v>
      </c>
      <c r="I8" s="2" t="s">
        <v>35</v>
      </c>
      <c r="J8" s="10"/>
      <c r="K8" s="10"/>
      <c r="L8" s="10"/>
      <c r="M8" s="18"/>
      <c r="N8" s="6">
        <f>H8</f>
        <v>172800</v>
      </c>
    </row>
    <row r="9" spans="1:14" ht="30" x14ac:dyDescent="0.25">
      <c r="A9" s="2" t="s">
        <v>6</v>
      </c>
      <c r="B9" s="2" t="s">
        <v>36</v>
      </c>
      <c r="C9" s="2" t="s">
        <v>37</v>
      </c>
      <c r="D9" s="2" t="s">
        <v>7</v>
      </c>
      <c r="E9" s="2" t="s">
        <v>38</v>
      </c>
      <c r="F9" s="2" t="s">
        <v>40</v>
      </c>
      <c r="G9" s="4">
        <v>5186</v>
      </c>
      <c r="H9" s="4">
        <v>155580</v>
      </c>
      <c r="I9" s="2" t="s">
        <v>43</v>
      </c>
      <c r="J9" s="10"/>
      <c r="K9" s="10"/>
      <c r="L9" s="10"/>
      <c r="M9" s="10"/>
    </row>
    <row r="10" spans="1:14" ht="45" x14ac:dyDescent="0.25">
      <c r="A10" s="2" t="s">
        <v>6</v>
      </c>
      <c r="B10" s="2" t="s">
        <v>36</v>
      </c>
      <c r="C10" s="2" t="s">
        <v>37</v>
      </c>
      <c r="D10" s="2" t="s">
        <v>7</v>
      </c>
      <c r="E10" s="2" t="s">
        <v>39</v>
      </c>
      <c r="F10" s="2" t="s">
        <v>40</v>
      </c>
      <c r="G10" s="4">
        <v>5258.6</v>
      </c>
      <c r="H10" s="7">
        <f>30*G10</f>
        <v>157758</v>
      </c>
      <c r="I10" s="2" t="s">
        <v>44</v>
      </c>
      <c r="J10" s="10"/>
      <c r="K10" s="10"/>
      <c r="L10" s="10"/>
      <c r="M10" s="10"/>
    </row>
    <row r="11" spans="1:14" ht="30" x14ac:dyDescent="0.25">
      <c r="A11" s="2" t="s">
        <v>6</v>
      </c>
      <c r="B11" s="2" t="s">
        <v>36</v>
      </c>
      <c r="C11" s="2" t="s">
        <v>37</v>
      </c>
      <c r="D11" s="2" t="s">
        <v>7</v>
      </c>
      <c r="E11" s="2" t="s">
        <v>41</v>
      </c>
      <c r="F11" s="2" t="s">
        <v>40</v>
      </c>
      <c r="G11" s="4">
        <v>2750</v>
      </c>
      <c r="H11" s="7">
        <f>30*G11</f>
        <v>82500</v>
      </c>
      <c r="I11" s="2" t="s">
        <v>45</v>
      </c>
      <c r="J11" s="10"/>
      <c r="K11" s="10"/>
      <c r="L11" s="10"/>
      <c r="M11" s="10"/>
    </row>
    <row r="12" spans="1:14" ht="30" x14ac:dyDescent="0.25">
      <c r="A12" s="2" t="s">
        <v>6</v>
      </c>
      <c r="B12" s="2" t="s">
        <v>36</v>
      </c>
      <c r="C12" s="2" t="s">
        <v>37</v>
      </c>
      <c r="D12" s="2" t="s">
        <v>7</v>
      </c>
      <c r="E12" s="2" t="s">
        <v>42</v>
      </c>
      <c r="F12" s="2" t="s">
        <v>40</v>
      </c>
      <c r="G12" s="4">
        <v>1700</v>
      </c>
      <c r="H12" s="7">
        <f>30*G12</f>
        <v>51000</v>
      </c>
      <c r="I12" s="2" t="s">
        <v>46</v>
      </c>
      <c r="J12" s="10"/>
      <c r="K12" s="10"/>
      <c r="L12" s="10"/>
      <c r="M12" s="10"/>
    </row>
    <row r="13" spans="1:14" ht="60" x14ac:dyDescent="0.25">
      <c r="A13" s="2" t="s">
        <v>9</v>
      </c>
      <c r="B13" s="2" t="s">
        <v>32</v>
      </c>
      <c r="C13" s="2" t="s">
        <v>33</v>
      </c>
      <c r="D13" s="2" t="s">
        <v>12</v>
      </c>
      <c r="E13" s="2" t="s">
        <v>13</v>
      </c>
      <c r="F13" s="2">
        <v>1</v>
      </c>
      <c r="G13" s="4">
        <v>2987190</v>
      </c>
      <c r="H13" s="4">
        <v>2987190</v>
      </c>
      <c r="I13" s="2" t="s">
        <v>52</v>
      </c>
      <c r="J13" s="4">
        <f>G13/600</f>
        <v>4978.6499999999996</v>
      </c>
      <c r="K13" s="15">
        <v>212</v>
      </c>
      <c r="L13" s="16">
        <f>K13*J13</f>
        <v>1055473.7999999998</v>
      </c>
      <c r="M13" s="16">
        <f>L13*2</f>
        <v>2110947.5999999996</v>
      </c>
      <c r="N13" s="16">
        <f>AVERAGE(M13:M19)</f>
        <v>1957105.0673063323</v>
      </c>
    </row>
    <row r="14" spans="1:14" ht="60" x14ac:dyDescent="0.25">
      <c r="A14" s="2" t="s">
        <v>9</v>
      </c>
      <c r="B14" s="2" t="s">
        <v>49</v>
      </c>
      <c r="C14" s="2" t="s">
        <v>50</v>
      </c>
      <c r="D14" s="2" t="s">
        <v>12</v>
      </c>
      <c r="E14" s="2" t="s">
        <v>51</v>
      </c>
      <c r="F14" s="2">
        <v>1</v>
      </c>
      <c r="G14" s="4">
        <v>1019433.04</v>
      </c>
      <c r="H14" s="4">
        <v>1019433.04</v>
      </c>
      <c r="I14" s="2" t="s">
        <v>136</v>
      </c>
      <c r="J14" s="4">
        <f>G14/342</f>
        <v>2980.7983625730994</v>
      </c>
      <c r="K14" s="15">
        <v>212</v>
      </c>
      <c r="L14" s="16">
        <f t="shared" ref="L14:L19" si="1">K14*J14</f>
        <v>631929.25286549702</v>
      </c>
      <c r="M14" s="24">
        <f>L14*2</f>
        <v>1263858.505730994</v>
      </c>
    </row>
    <row r="15" spans="1:14" ht="150" x14ac:dyDescent="0.25">
      <c r="A15" s="2" t="s">
        <v>9</v>
      </c>
      <c r="B15" s="9" t="s">
        <v>57</v>
      </c>
      <c r="C15" s="2" t="s">
        <v>56</v>
      </c>
      <c r="D15" s="2" t="s">
        <v>58</v>
      </c>
      <c r="E15" s="2" t="s">
        <v>59</v>
      </c>
      <c r="F15" s="2">
        <v>1</v>
      </c>
      <c r="G15" s="4">
        <v>3200000</v>
      </c>
      <c r="H15" s="4">
        <v>3200000</v>
      </c>
      <c r="I15" s="2" t="s">
        <v>135</v>
      </c>
      <c r="J15" s="4">
        <f>G15/240</f>
        <v>13333.333333333334</v>
      </c>
      <c r="K15" s="15">
        <v>212</v>
      </c>
      <c r="L15" s="16">
        <f t="shared" si="1"/>
        <v>2826666.666666667</v>
      </c>
      <c r="M15" s="16">
        <v>0</v>
      </c>
    </row>
    <row r="16" spans="1:14" ht="45" x14ac:dyDescent="0.25">
      <c r="A16" s="2" t="s">
        <v>9</v>
      </c>
      <c r="B16" s="2" t="s">
        <v>88</v>
      </c>
      <c r="C16" s="2" t="s">
        <v>134</v>
      </c>
      <c r="D16" s="2" t="s">
        <v>91</v>
      </c>
      <c r="E16" s="2" t="s">
        <v>146</v>
      </c>
      <c r="F16" s="2">
        <v>1</v>
      </c>
      <c r="G16" s="4">
        <v>685000</v>
      </c>
      <c r="H16" s="4">
        <v>685000</v>
      </c>
      <c r="I16" s="2" t="s">
        <v>137</v>
      </c>
      <c r="J16" s="4">
        <f>H16/100</f>
        <v>6850</v>
      </c>
      <c r="K16" s="15">
        <v>212</v>
      </c>
      <c r="L16" s="16">
        <f t="shared" si="1"/>
        <v>1452200</v>
      </c>
      <c r="M16" s="16">
        <f>L16*2</f>
        <v>2904400</v>
      </c>
    </row>
    <row r="17" spans="1:13" ht="60" x14ac:dyDescent="0.25">
      <c r="A17" s="2" t="s">
        <v>9</v>
      </c>
      <c r="B17" s="2" t="s">
        <v>94</v>
      </c>
      <c r="C17" s="2" t="s">
        <v>139</v>
      </c>
      <c r="D17" s="2" t="s">
        <v>97</v>
      </c>
      <c r="E17" s="2" t="s">
        <v>140</v>
      </c>
      <c r="F17" s="2">
        <v>1</v>
      </c>
      <c r="G17" s="4">
        <v>929624.14</v>
      </c>
      <c r="H17" s="4">
        <v>929624.14</v>
      </c>
      <c r="I17" s="2" t="s">
        <v>138</v>
      </c>
      <c r="J17" s="4">
        <f>G17/150</f>
        <v>6197.4942666666666</v>
      </c>
      <c r="K17" s="15">
        <v>212</v>
      </c>
      <c r="L17" s="16">
        <f t="shared" si="1"/>
        <v>1313868.7845333333</v>
      </c>
      <c r="M17" s="16">
        <f>L17*2</f>
        <v>2627737.5690666665</v>
      </c>
    </row>
    <row r="18" spans="1:13" ht="60" x14ac:dyDescent="0.25">
      <c r="A18" s="2" t="s">
        <v>9</v>
      </c>
      <c r="B18" s="2" t="s">
        <v>94</v>
      </c>
      <c r="C18" s="2" t="s">
        <v>139</v>
      </c>
      <c r="D18" s="2" t="s">
        <v>97</v>
      </c>
      <c r="E18" s="2" t="s">
        <v>141</v>
      </c>
      <c r="F18" s="2">
        <v>1</v>
      </c>
      <c r="G18" s="4">
        <v>5119452.7699999996</v>
      </c>
      <c r="H18" s="4">
        <v>5119452.7699999996</v>
      </c>
      <c r="I18" s="2" t="s">
        <v>138</v>
      </c>
      <c r="J18" s="4">
        <f>G18/1000</f>
        <v>5119.4527699999999</v>
      </c>
      <c r="K18" s="15">
        <v>212</v>
      </c>
      <c r="L18" s="16">
        <f t="shared" si="1"/>
        <v>1085323.9872399999</v>
      </c>
      <c r="M18" s="16">
        <f t="shared" ref="M18:M19" si="2">L18*2</f>
        <v>2170647.9744799999</v>
      </c>
    </row>
    <row r="19" spans="1:13" ht="60" x14ac:dyDescent="0.25">
      <c r="A19" s="2" t="s">
        <v>9</v>
      </c>
      <c r="B19" s="2" t="s">
        <v>94</v>
      </c>
      <c r="C19" s="2" t="s">
        <v>139</v>
      </c>
      <c r="D19" s="2" t="s">
        <v>97</v>
      </c>
      <c r="E19" s="2" t="s">
        <v>142</v>
      </c>
      <c r="F19" s="2">
        <v>1</v>
      </c>
      <c r="G19" s="4">
        <v>1855290.44</v>
      </c>
      <c r="H19" s="4">
        <v>1855290.44</v>
      </c>
      <c r="I19" s="2" t="s">
        <v>138</v>
      </c>
      <c r="J19" s="4">
        <f>G19/300</f>
        <v>6184.3014666666668</v>
      </c>
      <c r="K19" s="15">
        <v>212</v>
      </c>
      <c r="L19" s="16">
        <f t="shared" si="1"/>
        <v>1311071.9109333334</v>
      </c>
      <c r="M19" s="16">
        <f t="shared" si="2"/>
        <v>2622143.8218666669</v>
      </c>
    </row>
    <row r="20" spans="1:13" x14ac:dyDescent="0.25">
      <c r="L20" s="6"/>
    </row>
  </sheetData>
  <autoFilter ref="A1:M19" xr:uid="{4DC485D9-770F-4ABD-91E5-01B626BA94CA}"/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Resumo</vt:lpstr>
      <vt:lpstr>Painel de Compras</vt:lpstr>
      <vt:lpstr>Painel de Compras-Filtro</vt:lpstr>
      <vt:lpstr>Resumo com Médias</vt:lpstr>
    </vt:vector>
  </TitlesOfParts>
  <Company>ANAC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Guilherme Fernandes Menegazzo</cp:lastModifiedBy>
  <dcterms:created xsi:type="dcterms:W3CDTF">2023-08-09T19:05:46Z</dcterms:created>
  <dcterms:modified xsi:type="dcterms:W3CDTF">2024-03-06T12:35:37Z</dcterms:modified>
</cp:coreProperties>
</file>